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6780" windowHeight="5700" activeTab="0"/>
  </bookViews>
  <sheets>
    <sheet name="Title" sheetId="1" r:id="rId1"/>
    <sheet name="User Interface" sheetId="2" r:id="rId2"/>
    <sheet name="Adjusted Heat Rates" sheetId="3" r:id="rId3"/>
    <sheet name="Costs" sheetId="4" r:id="rId4"/>
    <sheet name="Interface Values" sheetId="5" r:id="rId5"/>
    <sheet name="Calculator" sheetId="6" r:id="rId6"/>
  </sheets>
  <definedNames/>
  <calcPr fullCalcOnLoad="1"/>
</workbook>
</file>

<file path=xl/comments4.xml><?xml version="1.0" encoding="utf-8"?>
<comments xmlns="http://schemas.openxmlformats.org/spreadsheetml/2006/main">
  <authors>
    <author>Kent</author>
  </authors>
  <commentList>
    <comment ref="E23" authorId="0">
      <text>
        <r>
          <rPr>
            <b/>
            <sz val="9"/>
            <rFont val="Tahoma"/>
            <family val="0"/>
          </rPr>
          <t>Kent:</t>
        </r>
        <r>
          <rPr>
            <sz val="9"/>
            <rFont val="Tahoma"/>
            <family val="0"/>
          </rPr>
          <t xml:space="preserve">
This cell picks up the wind CF from the User Interface.</t>
        </r>
      </text>
    </comment>
  </commentList>
</comments>
</file>

<file path=xl/comments6.xml><?xml version="1.0" encoding="utf-8"?>
<comments xmlns="http://schemas.openxmlformats.org/spreadsheetml/2006/main">
  <authors>
    <author>Kent</author>
    <author>Kent Hawkins</author>
  </authors>
  <commentList>
    <comment ref="D7" authorId="0">
      <text>
        <r>
          <rPr>
            <b/>
            <sz val="9"/>
            <rFont val="Tahoma"/>
            <family val="0"/>
          </rPr>
          <t>Wind has low and high production periods throughout a year. The calculator provides for two - low and high wind. This factor allocates the amount of the deviation from the annual average for each period.</t>
        </r>
      </text>
    </comment>
    <comment ref="E17" authorId="1">
      <text>
        <r>
          <rPr>
            <b/>
            <sz val="8"/>
            <rFont val="Tahoma"/>
            <family val="2"/>
          </rPr>
          <t>This table provides the fossil fuel and CO2 emissions increases for a given loss in efficiency (heat rate penalty).</t>
        </r>
      </text>
    </comment>
    <comment ref="B116" authorId="1">
      <text>
        <r>
          <rPr>
            <b/>
            <sz val="8"/>
            <rFont val="Tahoma"/>
            <family val="2"/>
          </rPr>
          <t>This provides a check on the values selected from actual production information.</t>
        </r>
        <r>
          <rPr>
            <sz val="8"/>
            <rFont val="Tahoma"/>
            <family val="2"/>
          </rPr>
          <t xml:space="preserve">
</t>
        </r>
      </text>
    </comment>
  </commentList>
</comments>
</file>

<file path=xl/sharedStrings.xml><?xml version="1.0" encoding="utf-8"?>
<sst xmlns="http://schemas.openxmlformats.org/spreadsheetml/2006/main" count="764" uniqueCount="373">
  <si>
    <t>MWh</t>
  </si>
  <si>
    <t>Wind Capacity Factor</t>
  </si>
  <si>
    <t>CCGT</t>
  </si>
  <si>
    <t>GHG emissions</t>
  </si>
  <si>
    <t>Coal</t>
  </si>
  <si>
    <t>- CCGT</t>
  </si>
  <si>
    <t>- SCGT</t>
  </si>
  <si>
    <t>For total gas production with no wind</t>
  </si>
  <si>
    <t>Total</t>
  </si>
  <si>
    <t>Production Information - MWh</t>
  </si>
  <si>
    <t>GHG Emissions - million tons of CO2 per year</t>
  </si>
  <si>
    <t>New total without wind present</t>
  </si>
  <si>
    <t>Wind installed capacity</t>
  </si>
  <si>
    <t>MW</t>
  </si>
  <si>
    <t>Rates of consumption</t>
  </si>
  <si>
    <t>Reference: Natural Gas-Fired Generation in the IPSP prepared for the OPA by North Side Energy, LLC</t>
  </si>
  <si>
    <t>Conversion to MMcf</t>
  </si>
  <si>
    <t>Btu/cf</t>
  </si>
  <si>
    <t>MMcf/KWh</t>
  </si>
  <si>
    <t>MM = million</t>
  </si>
  <si>
    <t>MMcf/day</t>
  </si>
  <si>
    <t>MMcf/year</t>
  </si>
  <si>
    <t>TWh/year</t>
  </si>
  <si>
    <t>MMcf/TWh</t>
  </si>
  <si>
    <t>MMcf/GWh</t>
  </si>
  <si>
    <t>MMcf/MWh</t>
  </si>
  <si>
    <t>MMBtu/MWh</t>
  </si>
  <si>
    <t>MMcf</t>
  </si>
  <si>
    <t xml:space="preserve">Total </t>
  </si>
  <si>
    <t>(See page 2 for details)</t>
  </si>
  <si>
    <t>wind capacity x capacity factor x 24 x 365</t>
  </si>
  <si>
    <t>of above</t>
  </si>
  <si>
    <t>A</t>
  </si>
  <si>
    <t>(A from p2) x tons/MWh/1,000,000</t>
  </si>
  <si>
    <t>(B from p2) x tons/MWh/1,000,000</t>
  </si>
  <si>
    <t>B</t>
  </si>
  <si>
    <t>C</t>
  </si>
  <si>
    <t>E</t>
  </si>
  <si>
    <t>F</t>
  </si>
  <si>
    <t>G</t>
  </si>
  <si>
    <t>H</t>
  </si>
  <si>
    <t>A x MMcf/MWh</t>
  </si>
  <si>
    <t>B x MMcf/MWh</t>
  </si>
  <si>
    <t>L</t>
  </si>
  <si>
    <t>M</t>
  </si>
  <si>
    <t>N</t>
  </si>
  <si>
    <t>O</t>
  </si>
  <si>
    <t>Gas Consumption as % of that with no wind</t>
  </si>
  <si>
    <t>CERI</t>
  </si>
  <si>
    <t>Btu/KWh</t>
  </si>
  <si>
    <t>MMBtu/KWh??</t>
  </si>
  <si>
    <t>%1</t>
  </si>
  <si>
    <t>%2</t>
  </si>
  <si>
    <t>%3</t>
  </si>
  <si>
    <t>%4</t>
  </si>
  <si>
    <t>OPA Supply Mix Advice CERI Attachment p 67</t>
  </si>
  <si>
    <t>GAS CONSUMPTION AND GHG EMISSIONS - WIND/GAS COMBINATION</t>
  </si>
  <si>
    <t>Page 1</t>
  </si>
  <si>
    <t>Page 2</t>
  </si>
  <si>
    <t>CO2 Emissions</t>
  </si>
  <si>
    <t>wind capacity x 24 x 365</t>
  </si>
  <si>
    <t>Btu/|KWh</t>
  </si>
  <si>
    <t>OPA IPSP D-8-1, Attach 1, p 6 of 11</t>
  </si>
  <si>
    <t>Gas</t>
  </si>
  <si>
    <t>Wind at 100% capacity</t>
  </si>
  <si>
    <t>Wind production Summary</t>
  </si>
  <si>
    <t>For 2007 from North Side reference</t>
  </si>
  <si>
    <t>Time in shadowing backup mode in low wind production period</t>
  </si>
  <si>
    <t>Time in shadowing backup mode in high wind production period</t>
  </si>
  <si>
    <t>Low wind period</t>
  </si>
  <si>
    <t>High wind period</t>
  </si>
  <si>
    <t>Gas production shadowing/backup - low wind period</t>
  </si>
  <si>
    <t>Gas production shadowing/backup - high wind period</t>
  </si>
  <si>
    <t>Adjustment to wind production for high and low periods</t>
  </si>
  <si>
    <t>Check math to a gas consumption example</t>
  </si>
  <si>
    <t>OCGT</t>
  </si>
  <si>
    <t>- OCGT</t>
  </si>
  <si>
    <t>of wind at 100% less wind production</t>
  </si>
  <si>
    <t>Factor</t>
  </si>
  <si>
    <t>Heat Rate</t>
  </si>
  <si>
    <t>Penalty</t>
  </si>
  <si>
    <t>t/MWh</t>
  </si>
  <si>
    <t>Total (Must be 100%)</t>
  </si>
  <si>
    <t>Plant</t>
  </si>
  <si>
    <t>Type</t>
  </si>
  <si>
    <t>CCGT (at 60% efficiency)</t>
  </si>
  <si>
    <t>OCGT (at 40% efficiency)</t>
  </si>
  <si>
    <t>Coal (at 45 % efficiency)</t>
  </si>
  <si>
    <t>Average</t>
  </si>
  <si>
    <t>Ratio</t>
  </si>
  <si>
    <t>Fossil fuel production required</t>
  </si>
  <si>
    <t>Wind production</t>
  </si>
  <si>
    <t>Fossil fuel production shadowing/backup - high wind period</t>
  </si>
  <si>
    <t>Fossil fuel production shadowing/backup - low wind period</t>
  </si>
  <si>
    <t>Fossil fuel prodcution total - low and high wind periods</t>
  </si>
  <si>
    <t>Coal - low wind period</t>
  </si>
  <si>
    <t>Coal - high wind period</t>
  </si>
  <si>
    <t>Use following values</t>
  </si>
  <si>
    <t xml:space="preserve"> - Coal</t>
  </si>
  <si>
    <t>Calculation of Fossil Fuel Consumed</t>
  </si>
  <si>
    <t>Natural Gas</t>
  </si>
  <si>
    <t>Fossil fuel consumption assuming wind not present</t>
  </si>
  <si>
    <t>Fossil fuel consumption with wind present</t>
  </si>
  <si>
    <t>%5</t>
  </si>
  <si>
    <t>%6</t>
  </si>
  <si>
    <t>Penalty A</t>
  </si>
  <si>
    <t>Penalty B</t>
  </si>
  <si>
    <t>Penalty C</t>
  </si>
  <si>
    <t>Penalty D</t>
  </si>
  <si>
    <t>g coal</t>
  </si>
  <si>
    <t xml:space="preserve">http://bioenergy.ornl.gov/papers/misc/energy_conv.html </t>
  </si>
  <si>
    <t>t coal</t>
  </si>
  <si>
    <t>check on totals</t>
  </si>
  <si>
    <t>I</t>
  </si>
  <si>
    <t>J</t>
  </si>
  <si>
    <t>Fossil fuel consumption - gas in MMcf (million cubic feet), coal in mt (millions of tonnes)</t>
  </si>
  <si>
    <t>Input Parameters (enter values in boxes only)</t>
  </si>
  <si>
    <t>No wind</t>
  </si>
  <si>
    <t>%7</t>
  </si>
  <si>
    <t>%8</t>
  </si>
  <si>
    <t>%9</t>
  </si>
  <si>
    <t>P</t>
  </si>
  <si>
    <t>Q</t>
  </si>
  <si>
    <t>Total gas</t>
  </si>
  <si>
    <t>tonnes</t>
  </si>
  <si>
    <t>C x t/MWh</t>
  </si>
  <si>
    <t>Fossil plant production ratio for wind shadowing/backup plants</t>
  </si>
  <si>
    <t>L x penalty A x MMcf/MWh (average)</t>
  </si>
  <si>
    <t>P x penalty C x t/MWh</t>
  </si>
  <si>
    <t>Q x penalty D x t/MWh</t>
  </si>
  <si>
    <t>Total fossil fuel consumption assuming wind not present</t>
  </si>
  <si>
    <t>Total coal</t>
  </si>
  <si>
    <t>Coal consumption as % of that with no wind</t>
  </si>
  <si>
    <t>(X from p2) x tons/MWh/1,000,000</t>
  </si>
  <si>
    <t>At efficiency of 45%</t>
  </si>
  <si>
    <t>Total fossil fuel plant production assuming wind not present</t>
  </si>
  <si>
    <t>Fossil fuel plant production with wind present (from page 1)</t>
  </si>
  <si>
    <t>M x penalty B x MMcf/MWh (average)</t>
  </si>
  <si>
    <t>N x penalty A x MMcf/MWh (average)</t>
  </si>
  <si>
    <t>O x penalty B x MMcf/MWh (average)</t>
  </si>
  <si>
    <t>C x %7</t>
  </si>
  <si>
    <t>C x %8</t>
  </si>
  <si>
    <t>C x %9</t>
  </si>
  <si>
    <t>E x (penalty A) x tons/MWh / 1,000,000</t>
  </si>
  <si>
    <t>F x (penalty B) x tons/MWh / 1,000,000</t>
  </si>
  <si>
    <t>I x (penalty C) xtons/MWh / 1,000,000</t>
  </si>
  <si>
    <t>G x (penalty A) x tons/MWh / 1,000,000</t>
  </si>
  <si>
    <t>H x (penalty B) x tons/MWh / 1,000,000</t>
  </si>
  <si>
    <t>J x (penalty D) x tons/MWh / 1,000,000</t>
  </si>
  <si>
    <t>X</t>
  </si>
  <si>
    <t>1 KWh-t</t>
  </si>
  <si>
    <t>1 MWh-t</t>
  </si>
  <si>
    <t>1 MWh-e</t>
  </si>
  <si>
    <t>at 31.5%</t>
  </si>
  <si>
    <t>at 55%</t>
  </si>
  <si>
    <t>Fairly consistent with CO2 emissions ratio of 1.45</t>
  </si>
  <si>
    <t>t</t>
  </si>
  <si>
    <t>Efficiency</t>
  </si>
  <si>
    <t>%</t>
  </si>
  <si>
    <t>Coal Plants</t>
  </si>
  <si>
    <t>Fossil Fuel Consumption</t>
  </si>
  <si>
    <t>mt</t>
  </si>
  <si>
    <t>Low Wind</t>
  </si>
  <si>
    <t>For Heat Rate Penalties of</t>
  </si>
  <si>
    <t>million tonnes</t>
  </si>
  <si>
    <t>Fuel consumption and CO2 emissions increase</t>
  </si>
  <si>
    <t>Fuel and CO2 Emissions Increase</t>
  </si>
  <si>
    <t>INTERFACE VALUES BETWEEN USER INTERFACE AND CALCULATOR</t>
  </si>
  <si>
    <t>Adjust HR</t>
  </si>
  <si>
    <t>HR Penalty</t>
  </si>
  <si>
    <t>Adjustment to HRP</t>
  </si>
  <si>
    <t>Adjusted HRP</t>
  </si>
  <si>
    <t>New HRP</t>
  </si>
  <si>
    <t>HRP</t>
  </si>
  <si>
    <t>FF and CO2</t>
  </si>
  <si>
    <t>With Wind</t>
  </si>
  <si>
    <t>Without Wind</t>
  </si>
  <si>
    <t>Savings with wind</t>
  </si>
  <si>
    <t>USER INTERFACE</t>
  </si>
  <si>
    <t>Enter installed wind capacity</t>
  </si>
  <si>
    <t>total wind production - low wind period production</t>
  </si>
  <si>
    <t>(mt = million tonnes)</t>
  </si>
  <si>
    <t>Wind production in low wind period as a % reduction from annual average</t>
  </si>
  <si>
    <t>Without</t>
  </si>
  <si>
    <t>Wind</t>
  </si>
  <si>
    <t>Period</t>
  </si>
  <si>
    <t>High Wind</t>
  </si>
  <si>
    <t>Users need not concern themselves with this spreadsheet</t>
  </si>
  <si>
    <t>Interface Relating to Heat Rate Penalties and Associated Increases in Fossil Fuel Consumption and CO2 emissions</t>
  </si>
  <si>
    <t>Typically these deal with formatting</t>
  </si>
  <si>
    <t>Wind Production</t>
  </si>
  <si>
    <t>Capacity Factor</t>
  </si>
  <si>
    <t>Shown on the chart to the right is the wind production</t>
  </si>
  <si>
    <t>Resulting wind production =</t>
  </si>
  <si>
    <t>These parameters allow the user to set the percent of production for each of the plant types for the three conditions shown.</t>
  </si>
  <si>
    <t>General</t>
  </si>
  <si>
    <t>If decimal points are entered 0.1 will be interpreted as 0.1% and 1.1 as 1.1%.</t>
  </si>
  <si>
    <t>Where input values are percentages enter positive numbers from 0-100 only.</t>
  </si>
  <si>
    <t>Cells without boxes (that is borders) provide feedback values for information only.</t>
  </si>
  <si>
    <t>Select Heat Rate Penalty (HRP or HR Penalty)</t>
  </si>
  <si>
    <t>Increase in fossil</t>
  </si>
  <si>
    <t>fuel and CO2 emissions</t>
  </si>
  <si>
    <t xml:space="preserve">Set wind production for low wind period </t>
  </si>
  <si>
    <t>The year is divided into two parts - low wind period and high wind period.</t>
  </si>
  <si>
    <t>The first parameter sets the percent of the year for low wind. 50% is a good general value.</t>
  </si>
  <si>
    <t>Move the slider and/or click on the arrows for fine adjustments.</t>
  </si>
  <si>
    <t>Distribution of electricity production for wind balancing fossil fuel plants</t>
  </si>
  <si>
    <t>Value selected</t>
  </si>
  <si>
    <t xml:space="preserve">Values </t>
  </si>
  <si>
    <t>Heat Rates</t>
  </si>
  <si>
    <t>Values used in Calculator</t>
  </si>
  <si>
    <t>MMBtu/kWh</t>
  </si>
  <si>
    <t>Quantitiy of Fuel Used</t>
  </si>
  <si>
    <t>ADJUSTED HEAT RATES AT MAXIMUM EFFICIENCIES</t>
  </si>
  <si>
    <t xml:space="preserve">Previous versions of the Calculator used Heat Rate Values for gas plants based on the caculations on page 2 of the calculator. These have been left </t>
  </si>
  <si>
    <t>untouched to provide an audit trail for the changes that have been made as described below. In general the Heat Rate values at 60% efficiency for CCGT</t>
  </si>
  <si>
    <t>The calculations for the new Heat Rate values at the maximum efficiencies are as follows:</t>
  </si>
  <si>
    <t>CO2 Emissions per MWh</t>
  </si>
  <si>
    <t>tonnes/MWh</t>
  </si>
  <si>
    <t xml:space="preserve">CO2 emissions </t>
  </si>
  <si>
    <t>CO2 emissions per cubic foot</t>
  </si>
  <si>
    <t>lbs/cf</t>
  </si>
  <si>
    <t>CO2 emissions in pounds</t>
  </si>
  <si>
    <t>lbs/MWh</t>
  </si>
  <si>
    <t>Gas volume per MWh</t>
  </si>
  <si>
    <t>cf/MWh</t>
  </si>
  <si>
    <t>Btu per cubic foot</t>
  </si>
  <si>
    <t>Btu per MWh</t>
  </si>
  <si>
    <t>Btu/MWh</t>
  </si>
  <si>
    <t>Btu/kWh</t>
  </si>
  <si>
    <t>Used in Calculator v12</t>
  </si>
  <si>
    <t>Percent high</t>
  </si>
  <si>
    <t>The latest version of the Calculator uses different values for the starting points for maximum efficiencies. See tab "Adjusted Heat Rates".</t>
  </si>
  <si>
    <t>and 40% for OCGT were too high and have been adjusted based on the CO2 emissions for each at these efficiencies.</t>
  </si>
  <si>
    <t>Similarly a there was an error in calculating coal consumption which is corrected here.</t>
  </si>
  <si>
    <t>tonnes CO2 per tonne coal</t>
  </si>
  <si>
    <t>CO2 emissions per tonne coal</t>
  </si>
  <si>
    <t>Also Wiki answers according to DOE is bituminous is 4931/2000 = 2.5</t>
  </si>
  <si>
    <t>Coal per MWh</t>
  </si>
  <si>
    <t>Btu/lb</t>
  </si>
  <si>
    <t>Btu/pound</t>
  </si>
  <si>
    <t>Coal is about 75% C and ratio of CO2 to C is 44/12 = 3.7</t>
  </si>
  <si>
    <t>1000kg coal contains 746kg C</t>
  </si>
  <si>
    <t xml:space="preserve">CO2 produced is </t>
  </si>
  <si>
    <t>CO2 to coal is</t>
  </si>
  <si>
    <t xml:space="preserve">These errors affect only the fuel consumptions and not CO2 emissions. Previous calculations of percentage differences in fuel consumption are not affected, just the absolute levels. </t>
  </si>
  <si>
    <t>User Supplied Heat Rate Values</t>
  </si>
  <si>
    <t xml:space="preserve">Wikipedia </t>
  </si>
  <si>
    <t>http://en.wikipedia.org/wiki/Carbon_tax</t>
  </si>
  <si>
    <t xml:space="preserve">Confirmed at </t>
  </si>
  <si>
    <t>http://www.npc.org/Study_Topic_Papers/4-DTG-ElectricEfficiency.pdf</t>
  </si>
  <si>
    <t>See page 5</t>
  </si>
  <si>
    <t>The section contained in this box is from v12 of the Calculator and is superceded by the values determined in "Adjusted Heat Rates". This provides an "audit" trail</t>
  </si>
  <si>
    <t>Red</t>
  </si>
  <si>
    <t>There are two parameters that allow for some consideration of the seasonality of wind production.</t>
  </si>
  <si>
    <t>This allows the application of different parameters in the following sections for each of the two periods.</t>
  </si>
  <si>
    <t>Again 50% is a good generally applicable value.</t>
  </si>
  <si>
    <t>for the low wind and high wind periods of the year based</t>
  </si>
  <si>
    <t>on the two values selected.</t>
  </si>
  <si>
    <t>This sets the emissions rates at the efficiencies shown. If new values are input in the User Chosen boxes, the Calculator will use these.</t>
  </si>
  <si>
    <t>This is the effective annual HRP for the fossil fuel plants operating in a wind balancing role. It is not the peak HRP which may be experienced in real time.</t>
  </si>
  <si>
    <t>- Low wind periods likely will provide more opportunity for wind balancing plants to operate normally.</t>
  </si>
  <si>
    <t>- Grid limitations will likely restrict the availability of plants for wind balancing to local plants, decreasing the opportunity for normal operation.</t>
  </si>
  <si>
    <t>Gas Plants</t>
  </si>
  <si>
    <t>messages indicate valid entry or error information.</t>
  </si>
  <si>
    <t>(Version 14)</t>
  </si>
  <si>
    <t>Results</t>
  </si>
  <si>
    <t>Low Wind Period</t>
  </si>
  <si>
    <t>High Wind Period</t>
  </si>
  <si>
    <t>Adjusting HRPs is redundant as these could be adjusted directly. It is done because some maintain that such levels as 20% were reasonable. Others were more conservative.</t>
  </si>
  <si>
    <t>- The abillity to perform sensitivity analyses</t>
  </si>
  <si>
    <t>- Its use requires thought to consider the factors involved and use them effectively</t>
  </si>
  <si>
    <t>Basic Input Parameters</t>
  </si>
  <si>
    <t>This allows adjustment to the CCGT HR Penalty to allow for some consideration of these plants in wind balancing role to be operating normally.</t>
  </si>
  <si>
    <t>The approach taken leaves the opportunity to make easy adjustments from a level that is arguably reasonable (in the range of 20%), as shown by le Pair and de Groot.</t>
  </si>
  <si>
    <t>Kent Hawkins</t>
  </si>
  <si>
    <t>905-419-0468 (Canada)</t>
  </si>
  <si>
    <t xml:space="preserve">Email: kenthawkins@rogers.com </t>
  </si>
  <si>
    <t>MWh/year</t>
  </si>
  <si>
    <t>Note that the Heat Rate is for the efficiency shown. The Calculator takes into account the effect of reduced efficiencies. So these values are starting points.</t>
  </si>
  <si>
    <t>User Chosen CO2 Emissions (at the efficiencies shown)</t>
  </si>
  <si>
    <t>Unless adjusted it leads directly to the percent increase in fossil fuel and CO2 emissions.</t>
  </si>
  <si>
    <t>Considerations to be remembered include:</t>
  </si>
  <si>
    <t>COSTS</t>
  </si>
  <si>
    <t>http://www.eia.doe.gov/oiaf/aeo/electricity_generation.html</t>
  </si>
  <si>
    <t>Capacity</t>
  </si>
  <si>
    <t xml:space="preserve">The basis for the cost calculation is the DOE EIA's Annual Energy Outlook 2010 </t>
  </si>
  <si>
    <t>Levelized Costs ($/MWh)</t>
  </si>
  <si>
    <t>Capital</t>
  </si>
  <si>
    <t xml:space="preserve">Fixed </t>
  </si>
  <si>
    <t>O&amp;M</t>
  </si>
  <si>
    <t>Variable</t>
  </si>
  <si>
    <t>(excl Fixed</t>
  </si>
  <si>
    <t>O&amp;M)</t>
  </si>
  <si>
    <t>Costs Without Wind</t>
  </si>
  <si>
    <t>DOE</t>
  </si>
  <si>
    <t>Costs</t>
  </si>
  <si>
    <t>(CF)</t>
  </si>
  <si>
    <t>CF</t>
  </si>
  <si>
    <t>Calculator</t>
  </si>
  <si>
    <t>$/MWh</t>
  </si>
  <si>
    <t>(1)</t>
  </si>
  <si>
    <t>Notes</t>
  </si>
  <si>
    <t>OCGT CF for wind balancing is unchanged with wind present due to new use of this plant type.</t>
  </si>
  <si>
    <t>The underlying assumption is the presence of wind requires additional OCGT plants (but not CCGT) for wind balancing.</t>
  </si>
  <si>
    <t>CCGT and coal CF for wind balancing plants is reduced with wind present due to decreased use of this plant type.</t>
  </si>
  <si>
    <t>(excl Var-</t>
  </si>
  <si>
    <t>able O&amp;M)</t>
  </si>
  <si>
    <t>Adjusted Costs</t>
  </si>
  <si>
    <t>Var O&amp;M</t>
  </si>
  <si>
    <t>(2)</t>
  </si>
  <si>
    <t>(3)</t>
  </si>
  <si>
    <t>Total less</t>
  </si>
  <si>
    <t>Costs With Wind</t>
  </si>
  <si>
    <t>Costs Adjusted for Calculator Inputs</t>
  </si>
  <si>
    <t>(4)</t>
  </si>
  <si>
    <t>$million</t>
  </si>
  <si>
    <t>Increased costs with wind</t>
  </si>
  <si>
    <t>Cost of CO2 mitigation/subsidization</t>
  </si>
  <si>
    <t>$/tonne</t>
  </si>
  <si>
    <t>CO2 mitigation costs</t>
  </si>
  <si>
    <t>CO2 subsidization costs</t>
  </si>
  <si>
    <t>CO2 emissions increase (if positive)</t>
  </si>
  <si>
    <t>per tonne</t>
  </si>
  <si>
    <t>Total costs less variable costs used and adjusted for CF.</t>
  </si>
  <si>
    <t>Variable costs only are adjusted by the Increased Fuel and CO2 Emissions Factor and then by the CF.</t>
  </si>
  <si>
    <t>Average Increased Fuel and CO2 Emissions Factor for low and high wind periods used for coal.</t>
  </si>
  <si>
    <t>% Savings for Wind Balancing Plants only</t>
  </si>
  <si>
    <t>CO2 Subsidization/Mitigation Costs Due to Wind</t>
  </si>
  <si>
    <t>Calculator for</t>
  </si>
  <si>
    <t>due to Wind Presence in an Electricity System</t>
  </si>
  <si>
    <t>This calculator attempts to take into account the various factors in connection with the presence of utility-scale wind plants in an electricity system. It makes no claims of an absolute nature, that is, it is dependent on input parameters that the user deems appropriate. Its central core addresses the effect of wind unreliability and variability on fossil fuel plants used to balance wind output to render steady reliable, that is useful, electricity. The user can set this effect at zero and the result will be that which is often claimed by wind proponents.</t>
  </si>
  <si>
    <t>€/tonne</t>
  </si>
  <si>
    <t>Enter Wind capacity factor (CF)</t>
  </si>
  <si>
    <t>So for a wind CF of 30% the fossil fuel plant CF is 70% of the "normal operation" level x an adjustment. The adjustment can be changed in the Costs section</t>
  </si>
  <si>
    <t xml:space="preserve"> using a slide bar ranging from 0-100%. Setting the slide bar at 0% leaves the fossil fuel plant CF at the "normal operation" level.</t>
  </si>
  <si>
    <t>Note that the wind CF is used to reduce the CF of fossil fuel plants used in wind balancing. The resulting fossil fuel plant type CF is (1 - WindCF x an adjustment).</t>
  </si>
  <si>
    <t>It is recommended that these starting point values not be changed, and no provision has been made to do that.</t>
  </si>
  <si>
    <r>
      <t xml:space="preserve">Input values in boxed cells </t>
    </r>
    <r>
      <rPr>
        <b/>
        <sz val="10"/>
        <rFont val="Arial"/>
        <family val="2"/>
      </rPr>
      <t>only</t>
    </r>
    <r>
      <rPr>
        <sz val="10"/>
        <rFont val="Arial"/>
        <family val="2"/>
      </rPr>
      <t xml:space="preserve"> (that is cells with borders).</t>
    </r>
  </si>
  <si>
    <t>- The ability to quickly calculate the effects of these factors</t>
  </si>
  <si>
    <t>Three of the main benefits of the Calculator are:</t>
  </si>
  <si>
    <t>Exchange Rate</t>
  </si>
  <si>
    <t>Value Selected</t>
  </si>
  <si>
    <r>
      <t>Fossil Fuel, CO</t>
    </r>
    <r>
      <rPr>
        <b/>
        <vertAlign val="subscript"/>
        <sz val="20"/>
        <rFont val="Arial"/>
        <family val="2"/>
      </rPr>
      <t>2</t>
    </r>
    <r>
      <rPr>
        <b/>
        <sz val="20"/>
        <rFont val="Arial"/>
        <family val="2"/>
      </rPr>
      <t xml:space="preserve"> Emissions and Wind CO</t>
    </r>
    <r>
      <rPr>
        <b/>
        <vertAlign val="subscript"/>
        <sz val="20"/>
        <rFont val="Arial"/>
        <family val="2"/>
      </rPr>
      <t>2</t>
    </r>
    <r>
      <rPr>
        <b/>
        <sz val="20"/>
        <rFont val="Arial"/>
        <family val="2"/>
      </rPr>
      <t xml:space="preserve"> Mitigation/Subsidization Costs</t>
    </r>
  </si>
  <si>
    <t>HR</t>
  </si>
  <si>
    <t>See the Interface Values tab for heat rates at lower efficiencies.</t>
  </si>
  <si>
    <t>For more information on the Calculator see MasterResource at:</t>
  </si>
  <si>
    <t>These costs exclude the additional transmission costs associated with wind implementations.</t>
  </si>
  <si>
    <t>Experience is showing that wind Fixed O&amp;M may be understated.</t>
  </si>
  <si>
    <t>100% means that the CCGT and</t>
  </si>
  <si>
    <t xml:space="preserve"> coal CFs are reduced to</t>
  </si>
  <si>
    <t xml:space="preserve"> (1-WindCF) x DOE CF</t>
  </si>
  <si>
    <t>Factor the CF adjustments in</t>
  </si>
  <si>
    <t xml:space="preserve"> in the scroll bar</t>
  </si>
  <si>
    <t xml:space="preserve"> might be other factors at play.</t>
  </si>
  <si>
    <t xml:space="preserve"> cells E24 and E26 using the value</t>
  </si>
  <si>
    <t>Percent of time</t>
  </si>
  <si>
    <t>HRP applies</t>
  </si>
  <si>
    <t xml:space="preserve"> </t>
  </si>
  <si>
    <t>(Version 14.2)</t>
  </si>
  <si>
    <t xml:space="preserve">The value set by the slider below is the level for wind for the low wind period, </t>
  </si>
  <si>
    <t xml:space="preserve"> - For values of the above parameter &lt;51%, it reduces the wind production in the low wind period from 100% of the value by the amount set.</t>
  </si>
  <si>
    <t xml:space="preserve"> - For values of the above parameter &gt; 50%, it increases the low wind production in proportion to the amount set.</t>
  </si>
  <si>
    <t>The range of values is purposely limited to avoid unrealistic results.</t>
  </si>
  <si>
    <t>The chart on the right shows the results in combination with the next parameter.</t>
  </si>
  <si>
    <t xml:space="preserve"> 100% is that there may be</t>
  </si>
  <si>
    <t>The reason for adjusting below</t>
  </si>
  <si>
    <t>Ensure it is set at 100% unless you specifically want to choose otherwise.</t>
  </si>
  <si>
    <t>Note that there is an adjustment that can be made to the effect on the wind-mirroring fossil fuel plant capacity factors</t>
  </si>
  <si>
    <t xml:space="preserve">  in the Cost tab, which has an impact on costs. It is currently set at </t>
  </si>
  <si>
    <t>CO2 Factor</t>
  </si>
  <si>
    <t>of changes. This section will be removed in the next version.</t>
  </si>
  <si>
    <t xml:space="preserve">http://www.masterresource.org/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</si>
</sst>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
    <numFmt numFmtId="175" formatCode="0.0000000000"/>
    <numFmt numFmtId="176" formatCode="#,##0.000000"/>
    <numFmt numFmtId="177" formatCode="0.0%"/>
    <numFmt numFmtId="178" formatCode="0.0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quot;$&quot;#,##0"/>
  </numFmts>
  <fonts count="52">
    <font>
      <sz val="10"/>
      <name val="Arial"/>
      <family val="0"/>
    </font>
    <font>
      <b/>
      <sz val="10"/>
      <name val="Arial"/>
      <family val="2"/>
    </font>
    <font>
      <b/>
      <i/>
      <sz val="10"/>
      <name val="Arial"/>
      <family val="2"/>
    </font>
    <font>
      <u val="single"/>
      <sz val="10"/>
      <color indexed="12"/>
      <name val="Arial"/>
      <family val="2"/>
    </font>
    <font>
      <u val="single"/>
      <sz val="10"/>
      <color indexed="36"/>
      <name val="Arial"/>
      <family val="2"/>
    </font>
    <font>
      <sz val="8"/>
      <name val="Arial"/>
      <family val="2"/>
    </font>
    <font>
      <sz val="10"/>
      <color indexed="9"/>
      <name val="Arial"/>
      <family val="2"/>
    </font>
    <font>
      <b/>
      <sz val="14"/>
      <color indexed="9"/>
      <name val="Arial"/>
      <family val="2"/>
    </font>
    <font>
      <b/>
      <i/>
      <sz val="12"/>
      <color indexed="9"/>
      <name val="Arial"/>
      <family val="2"/>
    </font>
    <font>
      <i/>
      <sz val="10"/>
      <name val="Arial"/>
      <family val="2"/>
    </font>
    <font>
      <i/>
      <sz val="12"/>
      <color indexed="9"/>
      <name val="Arial"/>
      <family val="2"/>
    </font>
    <font>
      <u val="single"/>
      <sz val="10"/>
      <name val="Arial"/>
      <family val="2"/>
    </font>
    <font>
      <b/>
      <sz val="12"/>
      <name val="Arial"/>
      <family val="2"/>
    </font>
    <font>
      <b/>
      <i/>
      <sz val="11"/>
      <name val="Arial"/>
      <family val="2"/>
    </font>
    <font>
      <b/>
      <sz val="9"/>
      <name val="Tahoma"/>
      <family val="0"/>
    </font>
    <font>
      <b/>
      <sz val="8"/>
      <name val="Tahoma"/>
      <family val="2"/>
    </font>
    <font>
      <sz val="8"/>
      <name val="Tahoma"/>
      <family val="2"/>
    </font>
    <font>
      <sz val="10"/>
      <color indexed="10"/>
      <name val="Arial"/>
      <family val="0"/>
    </font>
    <font>
      <b/>
      <i/>
      <sz val="10"/>
      <color indexed="10"/>
      <name val="Arial"/>
      <family val="2"/>
    </font>
    <font>
      <b/>
      <sz val="11"/>
      <name val="Arial"/>
      <family val="2"/>
    </font>
    <font>
      <sz val="11"/>
      <name val="Calibri"/>
      <family val="2"/>
    </font>
    <font>
      <i/>
      <sz val="10"/>
      <color indexed="10"/>
      <name val="Arial"/>
      <family val="2"/>
    </font>
    <font>
      <b/>
      <sz val="20"/>
      <name val="Arial"/>
      <family val="2"/>
    </font>
    <font>
      <sz val="12"/>
      <name val="Arial"/>
      <family val="0"/>
    </font>
    <font>
      <b/>
      <vertAlign val="subscript"/>
      <sz val="20"/>
      <name val="Arial"/>
      <family val="2"/>
    </font>
    <font>
      <b/>
      <u val="single"/>
      <sz val="10"/>
      <name val="Arial"/>
      <family val="2"/>
    </font>
    <font>
      <sz val="9"/>
      <name val="Tahoma"/>
      <family val="0"/>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8.25"/>
      <color indexed="8"/>
      <name val="Arial"/>
      <family val="0"/>
    </font>
    <font>
      <b/>
      <sz val="8.25"/>
      <color indexed="8"/>
      <name val="Arial"/>
      <family val="0"/>
    </font>
    <font>
      <sz val="7.55"/>
      <color indexed="8"/>
      <name val="Arial"/>
      <family val="0"/>
    </font>
    <font>
      <sz val="8"/>
      <color indexed="8"/>
      <name val="Arial"/>
      <family val="0"/>
    </font>
    <font>
      <b/>
      <sz val="8"/>
      <color indexed="8"/>
      <name val="Arial"/>
      <family val="0"/>
    </font>
    <font>
      <sz val="7.35"/>
      <color indexed="8"/>
      <name val="Arial"/>
      <family val="0"/>
    </font>
    <font>
      <sz val="4.75"/>
      <color indexed="8"/>
      <name val="Arial"/>
      <family val="0"/>
    </font>
    <font>
      <b/>
      <sz val="9.25"/>
      <color indexed="8"/>
      <name val="Arial"/>
      <family val="0"/>
    </font>
    <font>
      <sz val="8.5"/>
      <color indexed="8"/>
      <name val="Arial"/>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40"/>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17" fillId="0" borderId="0" applyNumberFormat="0" applyFill="0" applyBorder="0" applyAlignment="0" applyProtection="0"/>
  </cellStyleXfs>
  <cellXfs count="154">
    <xf numFmtId="0" fontId="0" fillId="0" borderId="0" xfId="0" applyAlignment="1">
      <alignment/>
    </xf>
    <xf numFmtId="0" fontId="1" fillId="0" borderId="0" xfId="0" applyFont="1" applyAlignment="1">
      <alignment/>
    </xf>
    <xf numFmtId="0" fontId="2" fillId="0" borderId="0" xfId="0" applyFont="1" applyAlignment="1">
      <alignment/>
    </xf>
    <xf numFmtId="9" fontId="0" fillId="0" borderId="0" xfId="0" applyNumberFormat="1" applyAlignment="1">
      <alignment/>
    </xf>
    <xf numFmtId="3" fontId="0" fillId="0" borderId="0" xfId="0" applyNumberFormat="1" applyAlignment="1">
      <alignment/>
    </xf>
    <xf numFmtId="0" fontId="0" fillId="0" borderId="0" xfId="0" applyAlignment="1" quotePrefix="1">
      <alignment/>
    </xf>
    <xf numFmtId="3" fontId="2" fillId="0" borderId="0" xfId="0" applyNumberFormat="1" applyFont="1" applyAlignment="1">
      <alignment/>
    </xf>
    <xf numFmtId="0" fontId="0" fillId="0" borderId="0" xfId="0" applyFont="1" applyAlignment="1">
      <alignment/>
    </xf>
    <xf numFmtId="3" fontId="0" fillId="0" borderId="0" xfId="0" applyNumberFormat="1" applyFont="1" applyAlignment="1">
      <alignment/>
    </xf>
    <xf numFmtId="172" fontId="0" fillId="0" borderId="0" xfId="0" applyNumberFormat="1" applyAlignment="1">
      <alignment/>
    </xf>
    <xf numFmtId="0" fontId="0" fillId="24" borderId="0" xfId="0" applyFill="1" applyAlignment="1">
      <alignment/>
    </xf>
    <xf numFmtId="0" fontId="7" fillId="24" borderId="0" xfId="0" applyFont="1" applyFill="1" applyAlignment="1">
      <alignment/>
    </xf>
    <xf numFmtId="0" fontId="6" fillId="24" borderId="0" xfId="0" applyFont="1" applyFill="1" applyAlignment="1">
      <alignment/>
    </xf>
    <xf numFmtId="0" fontId="8" fillId="25" borderId="0" xfId="0" applyFont="1" applyFill="1" applyAlignment="1">
      <alignment/>
    </xf>
    <xf numFmtId="0" fontId="0" fillId="25" borderId="0" xfId="0" applyFill="1" applyAlignment="1">
      <alignment/>
    </xf>
    <xf numFmtId="3" fontId="0" fillId="0" borderId="0" xfId="0" applyNumberFormat="1" applyBorder="1" applyAlignment="1">
      <alignment/>
    </xf>
    <xf numFmtId="0" fontId="9" fillId="0" borderId="0" xfId="0" applyFont="1" applyAlignment="1">
      <alignment/>
    </xf>
    <xf numFmtId="9" fontId="9" fillId="0" borderId="0" xfId="0" applyNumberFormat="1" applyFont="1" applyAlignment="1">
      <alignment/>
    </xf>
    <xf numFmtId="0" fontId="0" fillId="0" borderId="0" xfId="0" applyAlignment="1">
      <alignment horizontal="center"/>
    </xf>
    <xf numFmtId="9" fontId="0" fillId="0" borderId="0" xfId="0" applyNumberFormat="1" applyBorder="1" applyAlignment="1">
      <alignment/>
    </xf>
    <xf numFmtId="3" fontId="0" fillId="0" borderId="10" xfId="0" applyNumberFormat="1" applyBorder="1" applyAlignment="1">
      <alignment/>
    </xf>
    <xf numFmtId="9" fontId="0" fillId="0" borderId="10" xfId="0" applyNumberFormat="1" applyBorder="1" applyAlignment="1">
      <alignment/>
    </xf>
    <xf numFmtId="2" fontId="0" fillId="0" borderId="10" xfId="0" applyNumberFormat="1" applyBorder="1" applyAlignment="1">
      <alignment/>
    </xf>
    <xf numFmtId="9" fontId="0" fillId="0" borderId="0" xfId="0" applyNumberFormat="1" applyAlignment="1" quotePrefix="1">
      <alignment/>
    </xf>
    <xf numFmtId="9" fontId="0" fillId="0" borderId="11" xfId="0" applyNumberFormat="1" applyBorder="1" applyAlignment="1">
      <alignment/>
    </xf>
    <xf numFmtId="9" fontId="0" fillId="0" borderId="12" xfId="0" applyNumberFormat="1" applyBorder="1" applyAlignment="1">
      <alignment/>
    </xf>
    <xf numFmtId="0" fontId="10" fillId="24" borderId="0" xfId="0" applyFont="1" applyFill="1" applyAlignment="1">
      <alignment horizontal="right"/>
    </xf>
    <xf numFmtId="0" fontId="10" fillId="25" borderId="0" xfId="0" applyFont="1" applyFill="1" applyAlignment="1">
      <alignment/>
    </xf>
    <xf numFmtId="0" fontId="0" fillId="0" borderId="0" xfId="0" applyFont="1" applyAlignment="1" quotePrefix="1">
      <alignment/>
    </xf>
    <xf numFmtId="1" fontId="0" fillId="0" borderId="0" xfId="0" applyNumberFormat="1" applyAlignment="1">
      <alignment/>
    </xf>
    <xf numFmtId="179" fontId="0" fillId="0" borderId="0" xfId="0" applyNumberFormat="1" applyAlignment="1">
      <alignment/>
    </xf>
    <xf numFmtId="0" fontId="0" fillId="0" borderId="11" xfId="0" applyBorder="1" applyAlignment="1">
      <alignment/>
    </xf>
    <xf numFmtId="172" fontId="1" fillId="0" borderId="0" xfId="0" applyNumberFormat="1" applyFont="1" applyAlignment="1">
      <alignment/>
    </xf>
    <xf numFmtId="0" fontId="0" fillId="0" borderId="0" xfId="0" applyFont="1" applyAlignment="1">
      <alignment horizontal="right"/>
    </xf>
    <xf numFmtId="0" fontId="0" fillId="0" borderId="11" xfId="0" applyFont="1" applyBorder="1" applyAlignment="1">
      <alignment horizontal="centerContinuous"/>
    </xf>
    <xf numFmtId="0" fontId="0" fillId="0" borderId="11" xfId="0" applyBorder="1" applyAlignment="1">
      <alignment horizontal="centerContinuous"/>
    </xf>
    <xf numFmtId="0" fontId="0" fillId="26" borderId="11" xfId="0" applyFont="1" applyFill="1" applyBorder="1" applyAlignment="1">
      <alignment horizontal="centerContinuous"/>
    </xf>
    <xf numFmtId="0" fontId="0" fillId="26" borderId="11" xfId="0" applyFill="1" applyBorder="1" applyAlignment="1">
      <alignment horizontal="centerContinuous"/>
    </xf>
    <xf numFmtId="9" fontId="0" fillId="26" borderId="0" xfId="0" applyNumberFormat="1" applyFill="1" applyAlignment="1">
      <alignment horizontal="center"/>
    </xf>
    <xf numFmtId="0" fontId="0" fillId="26" borderId="0" xfId="0" applyFont="1" applyFill="1" applyAlignment="1">
      <alignment/>
    </xf>
    <xf numFmtId="0" fontId="0" fillId="0" borderId="0" xfId="0" applyFill="1" applyAlignment="1">
      <alignment/>
    </xf>
    <xf numFmtId="0" fontId="10" fillId="0" borderId="0" xfId="0" applyFont="1" applyFill="1" applyAlignment="1">
      <alignment/>
    </xf>
    <xf numFmtId="0" fontId="8" fillId="0" borderId="0" xfId="0" applyFont="1" applyFill="1" applyAlignment="1">
      <alignment/>
    </xf>
    <xf numFmtId="9" fontId="0" fillId="0" borderId="0" xfId="0" applyNumberFormat="1" applyFont="1" applyAlignment="1" quotePrefix="1">
      <alignment/>
    </xf>
    <xf numFmtId="9" fontId="0" fillId="0" borderId="13" xfId="0" applyNumberFormat="1" applyBorder="1" applyAlignment="1">
      <alignment horizontal="centerContinuous"/>
    </xf>
    <xf numFmtId="9" fontId="0" fillId="0" borderId="0" xfId="0" applyNumberFormat="1" applyFont="1" applyAlignment="1">
      <alignment/>
    </xf>
    <xf numFmtId="9" fontId="0" fillId="0" borderId="14" xfId="0" applyNumberFormat="1" applyBorder="1" applyAlignment="1">
      <alignment/>
    </xf>
    <xf numFmtId="0" fontId="11" fillId="0" borderId="11" xfId="0" applyFont="1" applyBorder="1" applyAlignment="1">
      <alignment horizontal="centerContinuous"/>
    </xf>
    <xf numFmtId="9" fontId="0" fillId="26" borderId="11" xfId="0" applyNumberFormat="1" applyFill="1" applyBorder="1" applyAlignment="1">
      <alignment horizontal="centerContinuous"/>
    </xf>
    <xf numFmtId="0" fontId="1" fillId="26" borderId="0" xfId="0" applyFont="1" applyFill="1" applyAlignment="1">
      <alignment horizontal="centerContinuous"/>
    </xf>
    <xf numFmtId="0" fontId="0" fillId="26" borderId="0" xfId="0" applyFill="1" applyAlignment="1">
      <alignment horizontal="centerContinuous"/>
    </xf>
    <xf numFmtId="9" fontId="0" fillId="26" borderId="0" xfId="0" applyNumberFormat="1" applyFill="1" applyAlignment="1">
      <alignment horizontal="centerContinuous"/>
    </xf>
    <xf numFmtId="0" fontId="0" fillId="0" borderId="0" xfId="0" applyFont="1" applyFill="1" applyBorder="1" applyAlignment="1">
      <alignment/>
    </xf>
    <xf numFmtId="9" fontId="0" fillId="0" borderId="0" xfId="0" applyNumberFormat="1" applyFont="1" applyAlignment="1" quotePrefix="1">
      <alignment horizontal="center"/>
    </xf>
    <xf numFmtId="0" fontId="0" fillId="0" borderId="0" xfId="0" applyAlignment="1">
      <alignment horizontal="centerContinuous"/>
    </xf>
    <xf numFmtId="0" fontId="0" fillId="0" borderId="0" xfId="0" applyAlignment="1">
      <alignment horizontal="right"/>
    </xf>
    <xf numFmtId="0" fontId="12" fillId="0" borderId="0" xfId="0" applyFont="1" applyAlignment="1">
      <alignment/>
    </xf>
    <xf numFmtId="0" fontId="0" fillId="0" borderId="10" xfId="0" applyBorder="1" applyAlignment="1">
      <alignment/>
    </xf>
    <xf numFmtId="0" fontId="2" fillId="0" borderId="0" xfId="0" applyFont="1" applyAlignment="1">
      <alignment horizontal="center"/>
    </xf>
    <xf numFmtId="0" fontId="0" fillId="0" borderId="0" xfId="0" applyFont="1" applyAlignment="1">
      <alignment horizontal="left"/>
    </xf>
    <xf numFmtId="0" fontId="17" fillId="0" borderId="0" xfId="0" applyFont="1" applyAlignment="1">
      <alignment/>
    </xf>
    <xf numFmtId="0" fontId="18" fillId="0" borderId="0" xfId="0" applyFont="1" applyBorder="1" applyAlignment="1">
      <alignment horizontal="center"/>
    </xf>
    <xf numFmtId="0" fontId="18" fillId="0" borderId="0" xfId="0" applyFont="1" applyAlignment="1">
      <alignment horizontal="center"/>
    </xf>
    <xf numFmtId="0" fontId="19" fillId="0" borderId="0" xfId="0" applyFont="1" applyAlignment="1">
      <alignment/>
    </xf>
    <xf numFmtId="0" fontId="0" fillId="0" borderId="0" xfId="0" applyFont="1" applyAlignment="1">
      <alignment horizontal="center"/>
    </xf>
    <xf numFmtId="3" fontId="0" fillId="0" borderId="0" xfId="0" applyNumberFormat="1" applyFont="1" applyAlignment="1">
      <alignment horizontal="right"/>
    </xf>
    <xf numFmtId="0" fontId="2" fillId="0" borderId="0" xfId="0" applyFont="1" applyAlignment="1">
      <alignment horizontal="left"/>
    </xf>
    <xf numFmtId="0" fontId="0" fillId="0" borderId="10" xfId="0" applyFont="1" applyBorder="1" applyAlignment="1">
      <alignment horizontal="right"/>
    </xf>
    <xf numFmtId="177" fontId="0" fillId="0" borderId="0" xfId="0" applyNumberFormat="1" applyAlignment="1">
      <alignment/>
    </xf>
    <xf numFmtId="178" fontId="0" fillId="0" borderId="0" xfId="0" applyNumberFormat="1" applyFont="1" applyAlignment="1">
      <alignment horizontal="right"/>
    </xf>
    <xf numFmtId="0" fontId="3" fillId="0" borderId="0" xfId="53" applyAlignment="1" applyProtection="1">
      <alignment/>
      <protection/>
    </xf>
    <xf numFmtId="2" fontId="0" fillId="0" borderId="0" xfId="0" applyNumberFormat="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3" fillId="0" borderId="0" xfId="53" applyBorder="1" applyAlignment="1" applyProtection="1">
      <alignment/>
      <protection/>
    </xf>
    <xf numFmtId="0" fontId="0" fillId="0" borderId="18" xfId="0" applyBorder="1" applyAlignment="1">
      <alignment/>
    </xf>
    <xf numFmtId="0" fontId="0" fillId="0" borderId="19" xfId="0" applyBorder="1" applyAlignment="1">
      <alignment/>
    </xf>
    <xf numFmtId="172" fontId="0" fillId="0" borderId="11" xfId="0" applyNumberFormat="1" applyBorder="1" applyAlignment="1">
      <alignment/>
    </xf>
    <xf numFmtId="0" fontId="0" fillId="0" borderId="20" xfId="0" applyBorder="1" applyAlignment="1">
      <alignment/>
    </xf>
    <xf numFmtId="0" fontId="3" fillId="0" borderId="12" xfId="53" applyBorder="1" applyAlignment="1" applyProtection="1">
      <alignment/>
      <protection/>
    </xf>
    <xf numFmtId="3" fontId="0" fillId="0" borderId="12" xfId="0" applyNumberFormat="1" applyBorder="1" applyAlignment="1">
      <alignment/>
    </xf>
    <xf numFmtId="0" fontId="20" fillId="0" borderId="11" xfId="0" applyFont="1" applyBorder="1" applyAlignment="1">
      <alignment/>
    </xf>
    <xf numFmtId="3" fontId="0" fillId="0" borderId="11" xfId="0" applyNumberFormat="1" applyBorder="1" applyAlignment="1">
      <alignment/>
    </xf>
    <xf numFmtId="0" fontId="9" fillId="0" borderId="0" xfId="0" applyFont="1" applyAlignment="1">
      <alignment horizontal="left"/>
    </xf>
    <xf numFmtId="0" fontId="0" fillId="11" borderId="0" xfId="0" applyFont="1" applyFill="1" applyBorder="1" applyAlignment="1">
      <alignment/>
    </xf>
    <xf numFmtId="0" fontId="0" fillId="11" borderId="0" xfId="0" applyFill="1" applyBorder="1" applyAlignment="1">
      <alignment/>
    </xf>
    <xf numFmtId="0" fontId="0" fillId="11" borderId="18" xfId="0" applyFill="1" applyBorder="1" applyAlignment="1">
      <alignment/>
    </xf>
    <xf numFmtId="3" fontId="0" fillId="11" borderId="0" xfId="0" applyNumberFormat="1" applyFill="1" applyBorder="1" applyAlignment="1">
      <alignment/>
    </xf>
    <xf numFmtId="174" fontId="0" fillId="0" borderId="0" xfId="0" applyNumberFormat="1" applyBorder="1" applyAlignment="1">
      <alignment/>
    </xf>
    <xf numFmtId="174" fontId="0" fillId="11" borderId="0" xfId="0" applyNumberFormat="1" applyFill="1" applyBorder="1" applyAlignment="1">
      <alignment/>
    </xf>
    <xf numFmtId="176" fontId="0" fillId="0" borderId="0" xfId="0" applyNumberFormat="1" applyBorder="1" applyAlignment="1">
      <alignment/>
    </xf>
    <xf numFmtId="0" fontId="9" fillId="8" borderId="0" xfId="0" applyFont="1" applyFill="1" applyBorder="1" applyAlignment="1">
      <alignment/>
    </xf>
    <xf numFmtId="0" fontId="0" fillId="8" borderId="0" xfId="0" applyFill="1" applyBorder="1" applyAlignment="1">
      <alignment/>
    </xf>
    <xf numFmtId="3" fontId="0" fillId="8" borderId="0" xfId="0" applyNumberFormat="1" applyFill="1" applyBorder="1" applyAlignment="1">
      <alignment/>
    </xf>
    <xf numFmtId="175" fontId="0" fillId="8" borderId="0" xfId="0" applyNumberFormat="1" applyFill="1" applyBorder="1" applyAlignment="1">
      <alignment/>
    </xf>
    <xf numFmtId="0" fontId="0" fillId="0" borderId="0" xfId="0" applyFill="1" applyBorder="1" applyAlignment="1">
      <alignment/>
    </xf>
    <xf numFmtId="175" fontId="0" fillId="0" borderId="0" xfId="0" applyNumberFormat="1" applyFill="1" applyBorder="1" applyAlignment="1">
      <alignment/>
    </xf>
    <xf numFmtId="0" fontId="0" fillId="0" borderId="18" xfId="0" applyFill="1" applyBorder="1" applyAlignment="1">
      <alignment/>
    </xf>
    <xf numFmtId="0" fontId="0" fillId="26" borderId="0" xfId="0" applyFont="1" applyFill="1" applyBorder="1" applyAlignment="1">
      <alignment/>
    </xf>
    <xf numFmtId="0" fontId="0" fillId="26" borderId="0" xfId="0" applyFill="1" applyBorder="1" applyAlignment="1">
      <alignment/>
    </xf>
    <xf numFmtId="0" fontId="0" fillId="26" borderId="0" xfId="0" applyFont="1" applyFill="1" applyBorder="1" applyAlignment="1">
      <alignment horizontal="right"/>
    </xf>
    <xf numFmtId="0" fontId="0" fillId="26" borderId="18" xfId="0" applyFill="1" applyBorder="1" applyAlignment="1">
      <alignment/>
    </xf>
    <xf numFmtId="0" fontId="0" fillId="26" borderId="0" xfId="0" applyFont="1" applyFill="1" applyBorder="1" applyAlignment="1">
      <alignment/>
    </xf>
    <xf numFmtId="174" fontId="0" fillId="26" borderId="0" xfId="0" applyNumberFormat="1" applyFill="1" applyBorder="1" applyAlignment="1">
      <alignment/>
    </xf>
    <xf numFmtId="0" fontId="1" fillId="26" borderId="0" xfId="0" applyFont="1" applyFill="1" applyBorder="1" applyAlignment="1">
      <alignment/>
    </xf>
    <xf numFmtId="0" fontId="0" fillId="0" borderId="0" xfId="0" applyFont="1" applyFill="1" applyBorder="1" applyAlignment="1">
      <alignment/>
    </xf>
    <xf numFmtId="174" fontId="0" fillId="0" borderId="0" xfId="0" applyNumberFormat="1" applyFill="1" applyBorder="1" applyAlignment="1">
      <alignment/>
    </xf>
    <xf numFmtId="0" fontId="3" fillId="0" borderId="0" xfId="53" applyFill="1" applyBorder="1" applyAlignment="1" applyProtection="1">
      <alignment/>
      <protection/>
    </xf>
    <xf numFmtId="3" fontId="0" fillId="0" borderId="0" xfId="0" applyNumberFormat="1" applyFill="1" applyBorder="1" applyAlignment="1">
      <alignment/>
    </xf>
    <xf numFmtId="0" fontId="0" fillId="0" borderId="0" xfId="0" applyFont="1" applyBorder="1" applyAlignment="1">
      <alignment/>
    </xf>
    <xf numFmtId="174" fontId="0" fillId="0" borderId="18" xfId="0" applyNumberFormat="1" applyFill="1" applyBorder="1" applyAlignment="1">
      <alignment/>
    </xf>
    <xf numFmtId="0" fontId="1" fillId="0" borderId="11" xfId="0" applyFont="1" applyFill="1" applyBorder="1" applyAlignment="1">
      <alignment/>
    </xf>
    <xf numFmtId="0" fontId="0" fillId="0" borderId="11" xfId="0" applyFont="1" applyFill="1" applyBorder="1" applyAlignment="1">
      <alignment/>
    </xf>
    <xf numFmtId="174" fontId="0" fillId="0" borderId="11" xfId="0" applyNumberFormat="1" applyFill="1" applyBorder="1" applyAlignment="1">
      <alignment/>
    </xf>
    <xf numFmtId="0" fontId="0" fillId="0" borderId="11" xfId="0" applyFont="1" applyBorder="1" applyAlignment="1">
      <alignment/>
    </xf>
    <xf numFmtId="0" fontId="0" fillId="0" borderId="11" xfId="0" applyFill="1" applyBorder="1" applyAlignment="1">
      <alignment/>
    </xf>
    <xf numFmtId="0" fontId="13" fillId="0" borderId="17" xfId="0" applyFont="1" applyBorder="1" applyAlignment="1">
      <alignment/>
    </xf>
    <xf numFmtId="0" fontId="0" fillId="0" borderId="20" xfId="0" applyFont="1" applyBorder="1" applyAlignment="1">
      <alignment horizontal="right"/>
    </xf>
    <xf numFmtId="0" fontId="0" fillId="0" borderId="12" xfId="0" applyFill="1" applyBorder="1" applyAlignment="1">
      <alignment/>
    </xf>
    <xf numFmtId="0" fontId="10" fillId="0" borderId="16" xfId="0" applyFont="1" applyFill="1" applyBorder="1" applyAlignment="1">
      <alignment/>
    </xf>
    <xf numFmtId="0" fontId="13" fillId="0" borderId="17" xfId="0" applyFont="1" applyFill="1" applyBorder="1" applyAlignment="1">
      <alignment/>
    </xf>
    <xf numFmtId="0" fontId="2" fillId="0" borderId="15" xfId="0" applyFont="1" applyBorder="1" applyAlignment="1">
      <alignment/>
    </xf>
    <xf numFmtId="0" fontId="2" fillId="0" borderId="0" xfId="0" applyFont="1" applyBorder="1" applyAlignment="1">
      <alignment/>
    </xf>
    <xf numFmtId="0" fontId="9" fillId="0" borderId="0" xfId="0" applyFont="1" applyAlignment="1" quotePrefix="1">
      <alignment horizontal="left"/>
    </xf>
    <xf numFmtId="0" fontId="2" fillId="0" borderId="11" xfId="0" applyFont="1" applyBorder="1" applyAlignment="1">
      <alignment horizontal="centerContinuous"/>
    </xf>
    <xf numFmtId="0" fontId="0" fillId="0" borderId="0" xfId="0" applyBorder="1" applyAlignment="1">
      <alignment horizontal="centerContinuous"/>
    </xf>
    <xf numFmtId="177" fontId="9" fillId="0" borderId="0" xfId="0" applyNumberFormat="1" applyFont="1" applyAlignment="1">
      <alignment horizontal="center"/>
    </xf>
    <xf numFmtId="0" fontId="22" fillId="0" borderId="0" xfId="0" applyFont="1" applyAlignment="1">
      <alignment horizontal="centerContinuous"/>
    </xf>
    <xf numFmtId="0" fontId="23" fillId="0" borderId="0" xfId="0" applyFont="1" applyAlignment="1">
      <alignment horizontal="centerContinuous"/>
    </xf>
    <xf numFmtId="0" fontId="0" fillId="0" borderId="0" xfId="0" applyAlignment="1">
      <alignment horizontal="centerContinuous" vertical="top"/>
    </xf>
    <xf numFmtId="0" fontId="0" fillId="0" borderId="0" xfId="0" applyAlignment="1">
      <alignment/>
    </xf>
    <xf numFmtId="0" fontId="23" fillId="0" borderId="0" xfId="0" applyFont="1" applyAlignment="1">
      <alignment horizontal="centerContinuous" vertical="top"/>
    </xf>
    <xf numFmtId="0" fontId="12" fillId="0" borderId="0" xfId="0" applyFont="1" applyAlignment="1">
      <alignment horizontal="centerContinuous" vertical="top"/>
    </xf>
    <xf numFmtId="0" fontId="21" fillId="0" borderId="0" xfId="0" applyFont="1" applyAlignment="1">
      <alignment horizontal="center"/>
    </xf>
    <xf numFmtId="0" fontId="0" fillId="0" borderId="0" xfId="0" applyAlignment="1" quotePrefix="1">
      <alignment horizontal="center"/>
    </xf>
    <xf numFmtId="1" fontId="0" fillId="0" borderId="0" xfId="0" applyNumberFormat="1" applyAlignment="1">
      <alignment/>
    </xf>
    <xf numFmtId="184" fontId="0" fillId="0" borderId="0" xfId="0" applyNumberFormat="1" applyAlignment="1">
      <alignment/>
    </xf>
    <xf numFmtId="0" fontId="0" fillId="0" borderId="0" xfId="0" applyBorder="1" applyAlignment="1">
      <alignment horizontal="center"/>
    </xf>
    <xf numFmtId="177" fontId="0" fillId="0" borderId="0" xfId="0" applyNumberFormat="1" applyFont="1" applyAlignment="1">
      <alignment horizontal="left"/>
    </xf>
    <xf numFmtId="0" fontId="0" fillId="0" borderId="11" xfId="0" applyBorder="1" applyAlignment="1">
      <alignment horizontal="centerContinuous" vertical="top"/>
    </xf>
    <xf numFmtId="0" fontId="0" fillId="0" borderId="0" xfId="0" applyAlignment="1">
      <alignment horizontal="left"/>
    </xf>
    <xf numFmtId="0" fontId="0" fillId="0" borderId="0" xfId="0" applyFill="1" applyBorder="1" applyAlignment="1">
      <alignment horizontal="center"/>
    </xf>
    <xf numFmtId="0" fontId="25" fillId="0" borderId="11" xfId="0" applyFont="1" applyBorder="1" applyAlignment="1">
      <alignment horizontal="centerContinuous" vertical="top"/>
    </xf>
    <xf numFmtId="0" fontId="1" fillId="0" borderId="11" xfId="0" applyFont="1" applyBorder="1" applyAlignment="1">
      <alignment horizontal="centerContinuous" vertical="top"/>
    </xf>
    <xf numFmtId="0" fontId="11" fillId="0" borderId="11" xfId="0" applyFont="1" applyBorder="1" applyAlignment="1">
      <alignment horizontal="centerContinuous" vertical="top"/>
    </xf>
    <xf numFmtId="0" fontId="0" fillId="0" borderId="0" xfId="0" applyAlignment="1" quotePrefix="1">
      <alignment horizontal="right"/>
    </xf>
    <xf numFmtId="9" fontId="9" fillId="0" borderId="0" xfId="0" applyNumberFormat="1" applyFont="1" applyAlignment="1">
      <alignment horizontal="center"/>
    </xf>
    <xf numFmtId="0" fontId="2" fillId="0" borderId="17" xfId="0" applyFont="1" applyBorder="1" applyAlignment="1">
      <alignment/>
    </xf>
    <xf numFmtId="0" fontId="10" fillId="0" borderId="18" xfId="0" applyFont="1" applyFill="1" applyBorder="1" applyAlignment="1">
      <alignment/>
    </xf>
    <xf numFmtId="0" fontId="3" fillId="0" borderId="0" xfId="53" applyAlignment="1">
      <alignment/>
    </xf>
    <xf numFmtId="0" fontId="23" fillId="0" borderId="0" xfId="0" applyNumberFormat="1"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325"/>
          <c:y val="0.053"/>
          <c:w val="0.55925"/>
          <c:h val="0.91975"/>
        </c:manualLayout>
      </c:layout>
      <c:barChart>
        <c:barDir val="col"/>
        <c:grouping val="clustered"/>
        <c:varyColors val="0"/>
        <c:ser>
          <c:idx val="0"/>
          <c:order val="0"/>
          <c:tx>
            <c:v>Gas Savings With Wind</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'User Interface'!$E$129</c:f>
              <c:numCache>
                <c:ptCount val="1"/>
                <c:pt idx="0">
                  <c:v>0</c:v>
                </c:pt>
              </c:numCache>
            </c:numRef>
          </c:val>
        </c:ser>
        <c:ser>
          <c:idx val="1"/>
          <c:order val="1"/>
          <c:tx>
            <c:v>Coal Savings With Wind</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'User Interface'!$G$129</c:f>
              <c:numCache>
                <c:ptCount val="1"/>
                <c:pt idx="0">
                  <c:v>0</c:v>
                </c:pt>
              </c:numCache>
            </c:numRef>
          </c:val>
        </c:ser>
        <c:axId val="45673767"/>
        <c:axId val="8410720"/>
      </c:barChart>
      <c:catAx>
        <c:axId val="45673767"/>
        <c:scaling>
          <c:orientation val="minMax"/>
        </c:scaling>
        <c:axPos val="b"/>
        <c:delete val="1"/>
        <c:majorTickMark val="out"/>
        <c:minorTickMark val="none"/>
        <c:tickLblPos val="none"/>
        <c:crossAx val="8410720"/>
        <c:crosses val="autoZero"/>
        <c:auto val="1"/>
        <c:lblOffset val="100"/>
        <c:tickLblSkip val="1"/>
        <c:noMultiLvlLbl val="0"/>
      </c:catAx>
      <c:valAx>
        <c:axId val="8410720"/>
        <c:scaling>
          <c:orientation val="minMax"/>
        </c:scaling>
        <c:axPos val="l"/>
        <c:title>
          <c:tx>
            <c:rich>
              <a:bodyPr vert="horz" rot="-5400000" anchor="ctr"/>
              <a:lstStyle/>
              <a:p>
                <a:pPr algn="ctr">
                  <a:defRPr/>
                </a:pPr>
                <a:r>
                  <a:rPr lang="en-US" cap="none" sz="825" b="1" i="0" u="none" baseline="0">
                    <a:solidFill>
                      <a:srgbClr val="000000"/>
                    </a:solidFill>
                    <a:latin typeface="Arial"/>
                    <a:ea typeface="Arial"/>
                    <a:cs typeface="Arial"/>
                  </a:rPr>
                  <a:t>Fossil Fuel Savings - Gas MMcf, Coal tonnes</a:t>
                </a:r>
              </a:p>
            </c:rich>
          </c:tx>
          <c:layout>
            <c:manualLayout>
              <c:xMode val="factor"/>
              <c:yMode val="factor"/>
              <c:x val="0.00125"/>
              <c:y val="0.01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673767"/>
        <c:crossesAt val="1"/>
        <c:crossBetween val="between"/>
        <c:dispUnits/>
      </c:valAx>
      <c:spPr>
        <a:noFill/>
        <a:ln w="12700">
          <a:solidFill>
            <a:srgbClr val="808080"/>
          </a:solidFill>
        </a:ln>
      </c:spPr>
    </c:plotArea>
    <c:legend>
      <c:legendPos val="r"/>
      <c:layout>
        <c:manualLayout>
          <c:xMode val="edge"/>
          <c:yMode val="edge"/>
          <c:x val="0.67"/>
          <c:y val="0.42225"/>
          <c:w val="0.30975"/>
          <c:h val="0.159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75"/>
          <c:y val="0.0145"/>
          <c:w val="0.6095"/>
          <c:h val="0.9155"/>
        </c:manualLayout>
      </c:layout>
      <c:barChart>
        <c:barDir val="col"/>
        <c:grouping val="clustered"/>
        <c:varyColors val="0"/>
        <c:ser>
          <c:idx val="0"/>
          <c:order val="0"/>
          <c:tx>
            <c:v>Low Wind Period</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Calculator!$B$37:$B$38</c:f>
              <c:strCache>
                <c:ptCount val="1"/>
                <c:pt idx="0">
                  <c:v>Low wind period</c:v>
                </c:pt>
              </c:strCache>
            </c:strRef>
          </c:cat>
          <c:val>
            <c:numRef>
              <c:f>Calculator!$D$37</c:f>
              <c:numCache>
                <c:ptCount val="1"/>
                <c:pt idx="0">
                  <c:v>1962240.0000000002</c:v>
                </c:pt>
              </c:numCache>
            </c:numRef>
          </c:val>
        </c:ser>
        <c:ser>
          <c:idx val="1"/>
          <c:order val="1"/>
          <c:tx>
            <c:v>High Wind Period</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Calculator!$B$37:$B$38</c:f>
              <c:strCache>
                <c:ptCount val="1"/>
                <c:pt idx="0">
                  <c:v>Low wind period</c:v>
                </c:pt>
              </c:strCache>
            </c:strRef>
          </c:cat>
          <c:val>
            <c:numRef>
              <c:f>Calculator!$D$38</c:f>
              <c:numCache>
                <c:ptCount val="1"/>
                <c:pt idx="0">
                  <c:v>5886720.000000001</c:v>
                </c:pt>
              </c:numCache>
            </c:numRef>
          </c:val>
        </c:ser>
        <c:axId val="8587617"/>
        <c:axId val="10179690"/>
      </c:barChart>
      <c:catAx>
        <c:axId val="8587617"/>
        <c:scaling>
          <c:orientation val="minMax"/>
        </c:scaling>
        <c:axPos val="b"/>
        <c:delete val="1"/>
        <c:majorTickMark val="out"/>
        <c:minorTickMark val="none"/>
        <c:tickLblPos val="none"/>
        <c:crossAx val="10179690"/>
        <c:crosses val="autoZero"/>
        <c:auto val="1"/>
        <c:lblOffset val="100"/>
        <c:tickLblSkip val="1"/>
        <c:noMultiLvlLbl val="0"/>
      </c:catAx>
      <c:valAx>
        <c:axId val="10179690"/>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Wind Electricity Production (MWh)</a:t>
                </a:r>
              </a:p>
            </c:rich>
          </c:tx>
          <c:layout>
            <c:manualLayout>
              <c:xMode val="factor"/>
              <c:yMode val="factor"/>
              <c:x val="-0.006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587617"/>
        <c:crossesAt val="1"/>
        <c:crossBetween val="between"/>
        <c:dispUnits/>
      </c:valAx>
      <c:spPr>
        <a:noFill/>
        <a:ln w="12700">
          <a:solidFill>
            <a:srgbClr val="808080"/>
          </a:solidFill>
        </a:ln>
      </c:spPr>
    </c:plotArea>
    <c:legend>
      <c:legendPos val="r"/>
      <c:layout>
        <c:manualLayout>
          <c:xMode val="edge"/>
          <c:yMode val="edge"/>
          <c:x val="0.72675"/>
          <c:y val="0.35275"/>
          <c:w val="0.2625"/>
          <c:h val="0.09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0405"/>
          <c:w val="0.56075"/>
          <c:h val="0.92"/>
        </c:manualLayout>
      </c:layout>
      <c:barChart>
        <c:barDir val="col"/>
        <c:grouping val="clustered"/>
        <c:varyColors val="0"/>
        <c:ser>
          <c:idx val="0"/>
          <c:order val="0"/>
          <c:tx>
            <c:v>CO2 Savings With Wind</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'User Interface'!$P$129</c:f>
              <c:numCache>
                <c:ptCount val="1"/>
                <c:pt idx="0">
                  <c:v>0</c:v>
                </c:pt>
              </c:numCache>
            </c:numRef>
          </c:val>
        </c:ser>
        <c:axId val="24508347"/>
        <c:axId val="19248532"/>
      </c:barChart>
      <c:catAx>
        <c:axId val="24508347"/>
        <c:scaling>
          <c:orientation val="minMax"/>
        </c:scaling>
        <c:axPos val="b"/>
        <c:delete val="1"/>
        <c:majorTickMark val="out"/>
        <c:minorTickMark val="none"/>
        <c:tickLblPos val="none"/>
        <c:crossAx val="19248532"/>
        <c:crosses val="autoZero"/>
        <c:auto val="1"/>
        <c:lblOffset val="100"/>
        <c:tickLblSkip val="1"/>
        <c:noMultiLvlLbl val="0"/>
      </c:catAx>
      <c:valAx>
        <c:axId val="19248532"/>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Million Tonnes (mt) CO2 </a:t>
                </a:r>
              </a:p>
            </c:rich>
          </c:tx>
          <c:layout>
            <c:manualLayout>
              <c:xMode val="factor"/>
              <c:yMode val="factor"/>
              <c:x val="-0.006"/>
              <c:y val="-0.00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1" i="0" u="none" baseline="0">
                <a:solidFill>
                  <a:srgbClr val="000000"/>
                </a:solidFill>
                <a:latin typeface="Arial"/>
                <a:ea typeface="Arial"/>
                <a:cs typeface="Arial"/>
              </a:defRPr>
            </a:pPr>
          </a:p>
        </c:txPr>
        <c:crossAx val="24508347"/>
        <c:crossesAt val="1"/>
        <c:crossBetween val="between"/>
        <c:dispUnits/>
      </c:valAx>
      <c:spPr>
        <a:noFill/>
        <a:ln w="12700">
          <a:solidFill>
            <a:srgbClr val="808080"/>
          </a:solidFill>
        </a:ln>
      </c:spPr>
    </c:plotArea>
    <c:legend>
      <c:legendPos val="r"/>
      <c:layout>
        <c:manualLayout>
          <c:xMode val="edge"/>
          <c:yMode val="edge"/>
          <c:x val="0.67925"/>
          <c:y val="0.42275"/>
          <c:w val="0.3005"/>
          <c:h val="0.1422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137</xdr:row>
      <xdr:rowOff>0</xdr:rowOff>
    </xdr:from>
    <xdr:to>
      <xdr:col>6</xdr:col>
      <xdr:colOff>400050</xdr:colOff>
      <xdr:row>151</xdr:row>
      <xdr:rowOff>142875</xdr:rowOff>
    </xdr:to>
    <xdr:graphicFrame>
      <xdr:nvGraphicFramePr>
        <xdr:cNvPr id="1" name="Chart 6"/>
        <xdr:cNvGraphicFramePr/>
      </xdr:nvGraphicFramePr>
      <xdr:xfrm>
        <a:off x="276225" y="22459950"/>
        <a:ext cx="3867150" cy="2409825"/>
      </xdr:xfrm>
      <a:graphic>
        <a:graphicData uri="http://schemas.openxmlformats.org/drawingml/2006/chart">
          <c:chart xmlns:c="http://schemas.openxmlformats.org/drawingml/2006/chart" r:id="rId1"/>
        </a:graphicData>
      </a:graphic>
    </xdr:graphicFrame>
    <xdr:clientData/>
  </xdr:twoCellAnchor>
  <xdr:twoCellAnchor>
    <xdr:from>
      <xdr:col>13</xdr:col>
      <xdr:colOff>9525</xdr:colOff>
      <xdr:row>23</xdr:row>
      <xdr:rowOff>9525</xdr:rowOff>
    </xdr:from>
    <xdr:to>
      <xdr:col>19</xdr:col>
      <xdr:colOff>28575</xdr:colOff>
      <xdr:row>47</xdr:row>
      <xdr:rowOff>152400</xdr:rowOff>
    </xdr:to>
    <xdr:graphicFrame>
      <xdr:nvGraphicFramePr>
        <xdr:cNvPr id="2" name="Chart 8"/>
        <xdr:cNvGraphicFramePr/>
      </xdr:nvGraphicFramePr>
      <xdr:xfrm>
        <a:off x="8258175" y="3867150"/>
        <a:ext cx="3676650" cy="40290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137</xdr:row>
      <xdr:rowOff>0</xdr:rowOff>
    </xdr:from>
    <xdr:to>
      <xdr:col>13</xdr:col>
      <xdr:colOff>38100</xdr:colOff>
      <xdr:row>152</xdr:row>
      <xdr:rowOff>0</xdr:rowOff>
    </xdr:to>
    <xdr:graphicFrame>
      <xdr:nvGraphicFramePr>
        <xdr:cNvPr id="3" name="Chart 10"/>
        <xdr:cNvGraphicFramePr/>
      </xdr:nvGraphicFramePr>
      <xdr:xfrm>
        <a:off x="4429125" y="22459950"/>
        <a:ext cx="3857625" cy="2428875"/>
      </xdr:xfrm>
      <a:graphic>
        <a:graphicData uri="http://schemas.openxmlformats.org/drawingml/2006/chart">
          <c:chart xmlns:c="http://schemas.openxmlformats.org/drawingml/2006/chart" r:id="rId3"/>
        </a:graphicData>
      </a:graphic>
    </xdr:graphicFrame>
    <xdr:clientData/>
  </xdr:twoCellAnchor>
  <xdr:twoCellAnchor>
    <xdr:from>
      <xdr:col>5</xdr:col>
      <xdr:colOff>552450</xdr:colOff>
      <xdr:row>91</xdr:row>
      <xdr:rowOff>66675</xdr:rowOff>
    </xdr:from>
    <xdr:to>
      <xdr:col>5</xdr:col>
      <xdr:colOff>561975</xdr:colOff>
      <xdr:row>102</xdr:row>
      <xdr:rowOff>104775</xdr:rowOff>
    </xdr:to>
    <xdr:sp>
      <xdr:nvSpPr>
        <xdr:cNvPr id="4" name="Line 13"/>
        <xdr:cNvSpPr>
          <a:spLocks/>
        </xdr:cNvSpPr>
      </xdr:nvSpPr>
      <xdr:spPr>
        <a:xfrm>
          <a:off x="3686175" y="15049500"/>
          <a:ext cx="9525" cy="1819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92</xdr:row>
      <xdr:rowOff>85725</xdr:rowOff>
    </xdr:from>
    <xdr:to>
      <xdr:col>7</xdr:col>
      <xdr:colOff>542925</xdr:colOff>
      <xdr:row>103</xdr:row>
      <xdr:rowOff>0</xdr:rowOff>
    </xdr:to>
    <xdr:sp>
      <xdr:nvSpPr>
        <xdr:cNvPr id="5" name="Line 14"/>
        <xdr:cNvSpPr>
          <a:spLocks/>
        </xdr:cNvSpPr>
      </xdr:nvSpPr>
      <xdr:spPr>
        <a:xfrm>
          <a:off x="4953000" y="15230475"/>
          <a:ext cx="19050" cy="1695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533400</xdr:colOff>
      <xdr:row>92</xdr:row>
      <xdr:rowOff>76200</xdr:rowOff>
    </xdr:from>
    <xdr:to>
      <xdr:col>16</xdr:col>
      <xdr:colOff>552450</xdr:colOff>
      <xdr:row>102</xdr:row>
      <xdr:rowOff>123825</xdr:rowOff>
    </xdr:to>
    <xdr:sp>
      <xdr:nvSpPr>
        <xdr:cNvPr id="6" name="Line 18"/>
        <xdr:cNvSpPr>
          <a:spLocks/>
        </xdr:cNvSpPr>
      </xdr:nvSpPr>
      <xdr:spPr>
        <a:xfrm>
          <a:off x="10610850" y="15220950"/>
          <a:ext cx="19050" cy="1666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552450</xdr:colOff>
      <xdr:row>91</xdr:row>
      <xdr:rowOff>66675</xdr:rowOff>
    </xdr:from>
    <xdr:to>
      <xdr:col>14</xdr:col>
      <xdr:colOff>561975</xdr:colOff>
      <xdr:row>102</xdr:row>
      <xdr:rowOff>104775</xdr:rowOff>
    </xdr:to>
    <xdr:sp>
      <xdr:nvSpPr>
        <xdr:cNvPr id="7" name="Line 20"/>
        <xdr:cNvSpPr>
          <a:spLocks/>
        </xdr:cNvSpPr>
      </xdr:nvSpPr>
      <xdr:spPr>
        <a:xfrm>
          <a:off x="9410700" y="15049500"/>
          <a:ext cx="9525" cy="1819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108</xdr:row>
      <xdr:rowOff>66675</xdr:rowOff>
    </xdr:from>
    <xdr:to>
      <xdr:col>5</xdr:col>
      <xdr:colOff>561975</xdr:colOff>
      <xdr:row>119</xdr:row>
      <xdr:rowOff>104775</xdr:rowOff>
    </xdr:to>
    <xdr:sp>
      <xdr:nvSpPr>
        <xdr:cNvPr id="8" name="Line 32"/>
        <xdr:cNvSpPr>
          <a:spLocks/>
        </xdr:cNvSpPr>
      </xdr:nvSpPr>
      <xdr:spPr>
        <a:xfrm>
          <a:off x="3686175" y="17802225"/>
          <a:ext cx="9525" cy="1819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109</xdr:row>
      <xdr:rowOff>85725</xdr:rowOff>
    </xdr:from>
    <xdr:to>
      <xdr:col>7</xdr:col>
      <xdr:colOff>542925</xdr:colOff>
      <xdr:row>120</xdr:row>
      <xdr:rowOff>0</xdr:rowOff>
    </xdr:to>
    <xdr:sp>
      <xdr:nvSpPr>
        <xdr:cNvPr id="9" name="Line 33"/>
        <xdr:cNvSpPr>
          <a:spLocks/>
        </xdr:cNvSpPr>
      </xdr:nvSpPr>
      <xdr:spPr>
        <a:xfrm>
          <a:off x="4953000" y="17983200"/>
          <a:ext cx="19050" cy="1695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533400</xdr:colOff>
      <xdr:row>109</xdr:row>
      <xdr:rowOff>76200</xdr:rowOff>
    </xdr:from>
    <xdr:to>
      <xdr:col>16</xdr:col>
      <xdr:colOff>552450</xdr:colOff>
      <xdr:row>119</xdr:row>
      <xdr:rowOff>123825</xdr:rowOff>
    </xdr:to>
    <xdr:sp>
      <xdr:nvSpPr>
        <xdr:cNvPr id="10" name="Line 35"/>
        <xdr:cNvSpPr>
          <a:spLocks/>
        </xdr:cNvSpPr>
      </xdr:nvSpPr>
      <xdr:spPr>
        <a:xfrm>
          <a:off x="10610850" y="17973675"/>
          <a:ext cx="19050" cy="1666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552450</xdr:colOff>
      <xdr:row>108</xdr:row>
      <xdr:rowOff>66675</xdr:rowOff>
    </xdr:from>
    <xdr:to>
      <xdr:col>14</xdr:col>
      <xdr:colOff>561975</xdr:colOff>
      <xdr:row>119</xdr:row>
      <xdr:rowOff>104775</xdr:rowOff>
    </xdr:to>
    <xdr:sp>
      <xdr:nvSpPr>
        <xdr:cNvPr id="11" name="Line 37"/>
        <xdr:cNvSpPr>
          <a:spLocks/>
        </xdr:cNvSpPr>
      </xdr:nvSpPr>
      <xdr:spPr>
        <a:xfrm>
          <a:off x="9410700" y="17802225"/>
          <a:ext cx="9525" cy="1819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asterresource.org/"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bioenergy.ornl.gov/papers/misc/energy_conv.html" TargetMode="External" /><Relationship Id="rId2" Type="http://schemas.openxmlformats.org/officeDocument/2006/relationships/hyperlink" Target="http://en.wikipedia.org/wiki/Carbon_tax" TargetMode="External" /><Relationship Id="rId3" Type="http://schemas.openxmlformats.org/officeDocument/2006/relationships/hyperlink" Target="http://www.npc.org/Study_Topic_Papers/4-DTG-ElectricEfficiency.pdf"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ia.doe.gov/oiaf/aeo/electricity_generation.html"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bioenergy.ornl.gov/papers/misc/energy_conv.html" TargetMode="External" /><Relationship Id="rId2" Type="http://schemas.openxmlformats.org/officeDocument/2006/relationships/comments" Target="../comments6.xml" /><Relationship Id="rId3" Type="http://schemas.openxmlformats.org/officeDocument/2006/relationships/vmlDrawing" Target="../drawings/vmlDrawing3.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R17"/>
  <sheetViews>
    <sheetView tabSelected="1" zoomScalePageLayoutView="0" workbookViewId="0" topLeftCell="A1">
      <selection activeCell="A8" sqref="A8"/>
    </sheetView>
  </sheetViews>
  <sheetFormatPr defaultColWidth="9.140625" defaultRowHeight="12.75"/>
  <cols>
    <col min="2" max="2" width="9.00390625" style="0" customWidth="1"/>
  </cols>
  <sheetData>
    <row r="3" spans="1:16" ht="26.25">
      <c r="A3" s="130" t="s">
        <v>329</v>
      </c>
      <c r="B3" s="132"/>
      <c r="C3" s="132"/>
      <c r="D3" s="132"/>
      <c r="E3" s="132"/>
      <c r="F3" s="132"/>
      <c r="G3" s="132"/>
      <c r="H3" s="132"/>
      <c r="I3" s="132"/>
      <c r="J3" s="132"/>
      <c r="K3" s="132"/>
      <c r="L3" s="132"/>
      <c r="M3" s="132"/>
      <c r="N3" s="132"/>
      <c r="O3" s="132"/>
      <c r="P3" s="132"/>
    </row>
    <row r="4" spans="1:16" ht="29.25">
      <c r="A4" s="130" t="s">
        <v>343</v>
      </c>
      <c r="B4" s="54"/>
      <c r="C4" s="54"/>
      <c r="D4" s="54"/>
      <c r="E4" s="54"/>
      <c r="F4" s="54"/>
      <c r="G4" s="54"/>
      <c r="H4" s="54"/>
      <c r="I4" s="54"/>
      <c r="J4" s="54"/>
      <c r="K4" s="54"/>
      <c r="L4" s="54"/>
      <c r="M4" s="54"/>
      <c r="N4" s="54"/>
      <c r="O4" s="54"/>
      <c r="P4" s="54"/>
    </row>
    <row r="5" spans="1:16" ht="26.25">
      <c r="A5" s="130" t="s">
        <v>330</v>
      </c>
      <c r="B5" s="132"/>
      <c r="C5" s="132"/>
      <c r="D5" s="132"/>
      <c r="E5" s="132"/>
      <c r="F5" s="132"/>
      <c r="G5" s="132"/>
      <c r="H5" s="132"/>
      <c r="I5" s="132"/>
      <c r="J5" s="132"/>
      <c r="K5" s="132"/>
      <c r="L5" s="132"/>
      <c r="M5" s="132"/>
      <c r="N5" s="132"/>
      <c r="O5" s="132"/>
      <c r="P5" s="132"/>
    </row>
    <row r="7" spans="1:16" ht="15.75">
      <c r="A7" s="135" t="s">
        <v>359</v>
      </c>
      <c r="B7" s="132"/>
      <c r="C7" s="132"/>
      <c r="D7" s="132"/>
      <c r="E7" s="132"/>
      <c r="F7" s="132"/>
      <c r="G7" s="132"/>
      <c r="H7" s="132"/>
      <c r="I7" s="132"/>
      <c r="J7" s="132"/>
      <c r="K7" s="132"/>
      <c r="L7" s="132"/>
      <c r="M7" s="132"/>
      <c r="N7" s="132"/>
      <c r="O7" s="132"/>
      <c r="P7" s="132"/>
    </row>
    <row r="9" spans="2:15" ht="84.75" customHeight="1">
      <c r="B9" s="153" t="s">
        <v>331</v>
      </c>
      <c r="C9" s="153"/>
      <c r="D9" s="153"/>
      <c r="E9" s="153"/>
      <c r="F9" s="153"/>
      <c r="G9" s="153"/>
      <c r="H9" s="153"/>
      <c r="I9" s="153"/>
      <c r="J9" s="153"/>
      <c r="K9" s="153"/>
      <c r="L9" s="153"/>
      <c r="M9" s="153"/>
      <c r="N9" s="153"/>
      <c r="O9" s="153"/>
    </row>
    <row r="13" spans="1:18" ht="15">
      <c r="A13" s="131" t="s">
        <v>275</v>
      </c>
      <c r="B13" s="131"/>
      <c r="C13" s="131"/>
      <c r="D13" s="131"/>
      <c r="E13" s="131"/>
      <c r="F13" s="131"/>
      <c r="G13" s="131"/>
      <c r="H13" s="131"/>
      <c r="I13" s="131"/>
      <c r="J13" s="131"/>
      <c r="K13" s="131"/>
      <c r="L13" s="131"/>
      <c r="M13" s="131"/>
      <c r="N13" s="131"/>
      <c r="O13" s="131"/>
      <c r="P13" s="131"/>
      <c r="Q13" s="133"/>
      <c r="R13" s="133"/>
    </row>
    <row r="15" spans="1:16" ht="15">
      <c r="A15" s="134" t="s">
        <v>277</v>
      </c>
      <c r="B15" s="132"/>
      <c r="C15" s="132"/>
      <c r="D15" s="132"/>
      <c r="E15" s="132"/>
      <c r="F15" s="132"/>
      <c r="G15" s="132"/>
      <c r="H15" s="132"/>
      <c r="I15" s="132"/>
      <c r="J15" s="132"/>
      <c r="K15" s="132"/>
      <c r="L15" s="132"/>
      <c r="M15" s="132"/>
      <c r="N15" s="132"/>
      <c r="O15" s="132"/>
      <c r="P15" s="132"/>
    </row>
    <row r="17" spans="1:16" ht="15">
      <c r="A17" s="131" t="s">
        <v>276</v>
      </c>
      <c r="B17" s="131"/>
      <c r="C17" s="131"/>
      <c r="D17" s="131"/>
      <c r="E17" s="131"/>
      <c r="F17" s="131"/>
      <c r="G17" s="131"/>
      <c r="H17" s="131"/>
      <c r="I17" s="131"/>
      <c r="J17" s="131"/>
      <c r="K17" s="131"/>
      <c r="L17" s="131"/>
      <c r="M17" s="131"/>
      <c r="N17" s="131"/>
      <c r="O17" s="131"/>
      <c r="P17" s="131"/>
    </row>
  </sheetData>
  <sheetProtection/>
  <mergeCells count="1">
    <mergeCell ref="B9:O9"/>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136"/>
  <sheetViews>
    <sheetView zoomScalePageLayoutView="0" workbookViewId="0" topLeftCell="A1">
      <selection activeCell="G4" sqref="G4"/>
    </sheetView>
  </sheetViews>
  <sheetFormatPr defaultColWidth="9.140625" defaultRowHeight="12.75"/>
  <cols>
    <col min="5" max="5" width="10.421875" style="0" customWidth="1"/>
    <col min="7" max="7" width="10.28125" style="0" customWidth="1"/>
    <col min="10" max="10" width="10.8515625" style="0" customWidth="1"/>
    <col min="12" max="12" width="9.8515625" style="0" bestFit="1" customWidth="1"/>
  </cols>
  <sheetData>
    <row r="1" ht="15.75">
      <c r="A1" s="56" t="s">
        <v>178</v>
      </c>
    </row>
    <row r="2" ht="15.75">
      <c r="A2" s="56"/>
    </row>
    <row r="3" spans="1:7" ht="12.75">
      <c r="A3" s="2" t="s">
        <v>346</v>
      </c>
      <c r="G3" s="152" t="s">
        <v>372</v>
      </c>
    </row>
    <row r="4" ht="12.75">
      <c r="A4" s="1"/>
    </row>
    <row r="5" ht="15">
      <c r="A5" s="63" t="s">
        <v>195</v>
      </c>
    </row>
    <row r="6" ht="12.75">
      <c r="A6" s="7" t="s">
        <v>338</v>
      </c>
    </row>
    <row r="7" ht="12.75">
      <c r="A7" s="7" t="s">
        <v>197</v>
      </c>
    </row>
    <row r="8" spans="1:2" ht="12.75">
      <c r="A8" s="7"/>
      <c r="B8" t="s">
        <v>196</v>
      </c>
    </row>
    <row r="9" spans="1:3" ht="12.75">
      <c r="A9" s="7"/>
      <c r="B9" s="136" t="s">
        <v>253</v>
      </c>
      <c r="C9" t="s">
        <v>264</v>
      </c>
    </row>
    <row r="10" ht="12.75">
      <c r="A10" s="7" t="s">
        <v>198</v>
      </c>
    </row>
    <row r="11" ht="12.75">
      <c r="A11" s="7" t="s">
        <v>340</v>
      </c>
    </row>
    <row r="12" ht="12.75">
      <c r="B12" s="5" t="s">
        <v>271</v>
      </c>
    </row>
    <row r="13" ht="12.75">
      <c r="B13" s="5" t="s">
        <v>339</v>
      </c>
    </row>
    <row r="14" spans="1:2" ht="12.75">
      <c r="A14" s="7"/>
      <c r="B14" s="28" t="s">
        <v>270</v>
      </c>
    </row>
    <row r="15" spans="1:2" ht="12.75">
      <c r="A15" s="7"/>
      <c r="B15" s="28"/>
    </row>
    <row r="16" ht="15">
      <c r="A16" s="63" t="s">
        <v>272</v>
      </c>
    </row>
    <row r="17" spans="1:6" ht="12.75">
      <c r="A17" s="1" t="s">
        <v>179</v>
      </c>
      <c r="E17" s="20">
        <v>3200</v>
      </c>
      <c r="F17" t="s">
        <v>13</v>
      </c>
    </row>
    <row r="18" spans="1:11" ht="12.75">
      <c r="A18" s="1" t="s">
        <v>333</v>
      </c>
      <c r="E18" s="57">
        <v>28</v>
      </c>
      <c r="F18" t="s">
        <v>158</v>
      </c>
      <c r="G18" t="s">
        <v>193</v>
      </c>
      <c r="J18" s="4">
        <f>Calculator!D32</f>
        <v>7848960.000000001</v>
      </c>
      <c r="K18" t="s">
        <v>278</v>
      </c>
    </row>
    <row r="19" spans="1:10" ht="12.75">
      <c r="A19" s="1"/>
      <c r="C19" s="60"/>
      <c r="E19" s="61" t="str">
        <f>IF(E18&lt;1,"Must be between 0 and 100",(IF(E18&gt;100,"Must be between 0 and 100","Valid")))</f>
        <v>Valid</v>
      </c>
      <c r="J19" s="4"/>
    </row>
    <row r="20" spans="1:9" ht="12.75">
      <c r="A20" s="1"/>
      <c r="C20" s="60"/>
      <c r="D20" s="61"/>
      <c r="I20" s="4"/>
    </row>
    <row r="21" spans="1:9" ht="12.75">
      <c r="A21" s="16" t="s">
        <v>336</v>
      </c>
      <c r="C21" s="60"/>
      <c r="D21" s="61"/>
      <c r="I21" s="4"/>
    </row>
    <row r="22" spans="1:9" ht="12.75">
      <c r="A22" s="16" t="s">
        <v>334</v>
      </c>
      <c r="C22" s="60"/>
      <c r="D22" s="61"/>
      <c r="I22" s="4"/>
    </row>
    <row r="23" spans="1:9" ht="12.75">
      <c r="A23" s="16" t="s">
        <v>335</v>
      </c>
      <c r="C23" s="60"/>
      <c r="D23" s="61"/>
      <c r="I23" s="4"/>
    </row>
    <row r="24" ht="12.75">
      <c r="A24" s="7"/>
    </row>
    <row r="25" ht="12.75">
      <c r="A25" s="1" t="s">
        <v>202</v>
      </c>
    </row>
    <row r="26" ht="12.75">
      <c r="A26" s="16" t="s">
        <v>254</v>
      </c>
    </row>
    <row r="27" ht="12.75">
      <c r="A27" s="16" t="s">
        <v>203</v>
      </c>
    </row>
    <row r="28" ht="12.75">
      <c r="A28" s="16" t="s">
        <v>255</v>
      </c>
    </row>
    <row r="29" ht="12.75">
      <c r="A29" s="16" t="s">
        <v>204</v>
      </c>
    </row>
    <row r="30" ht="12.75">
      <c r="A30" s="16" t="s">
        <v>364</v>
      </c>
    </row>
    <row r="31" ht="12.75">
      <c r="A31" s="7"/>
    </row>
    <row r="32" spans="1:4" ht="12.75">
      <c r="A32" s="7"/>
      <c r="B32" s="61" t="str">
        <f>IF(C32&lt;0,"Must be between 0 and 100",(IF(C32&gt;100,"Must be between 0 and 100","Valid")))</f>
        <v>Valid</v>
      </c>
      <c r="C32" s="57">
        <v>50</v>
      </c>
      <c r="D32" t="s">
        <v>158</v>
      </c>
    </row>
    <row r="34" ht="12.75">
      <c r="A34" s="16" t="s">
        <v>360</v>
      </c>
    </row>
    <row r="35" ht="12.75">
      <c r="A35" s="16" t="s">
        <v>361</v>
      </c>
    </row>
    <row r="36" ht="12.75">
      <c r="A36" s="16" t="s">
        <v>362</v>
      </c>
    </row>
    <row r="37" ht="12.75">
      <c r="A37" s="16" t="s">
        <v>363</v>
      </c>
    </row>
    <row r="38" ht="12.75">
      <c r="A38" s="16" t="s">
        <v>205</v>
      </c>
    </row>
    <row r="39" ht="12.75">
      <c r="A39" s="16" t="s">
        <v>256</v>
      </c>
    </row>
    <row r="42" spans="3:5" ht="12.75">
      <c r="C42" s="18" t="s">
        <v>207</v>
      </c>
      <c r="E42" t="s">
        <v>192</v>
      </c>
    </row>
    <row r="43" spans="3:5" ht="12.75">
      <c r="C43">
        <f>'Interface Values'!I9</f>
        <v>50</v>
      </c>
      <c r="D43" t="s">
        <v>158</v>
      </c>
      <c r="E43" t="s">
        <v>257</v>
      </c>
    </row>
    <row r="44" ht="12.75">
      <c r="E44" t="s">
        <v>258</v>
      </c>
    </row>
    <row r="49" ht="15">
      <c r="A49" s="63" t="s">
        <v>206</v>
      </c>
    </row>
    <row r="50" ht="12.75">
      <c r="A50" s="16" t="s">
        <v>194</v>
      </c>
    </row>
    <row r="51" ht="12.75">
      <c r="A51" s="1"/>
    </row>
    <row r="52" spans="3:7" ht="12.75">
      <c r="C52" s="18" t="s">
        <v>162</v>
      </c>
      <c r="D52" s="18"/>
      <c r="E52" s="18" t="s">
        <v>186</v>
      </c>
      <c r="F52" s="18"/>
      <c r="G52" s="18" t="s">
        <v>183</v>
      </c>
    </row>
    <row r="53" spans="3:7" ht="12.75">
      <c r="C53" s="18" t="s">
        <v>185</v>
      </c>
      <c r="D53" s="18"/>
      <c r="E53" s="18" t="s">
        <v>185</v>
      </c>
      <c r="F53" s="18"/>
      <c r="G53" s="18" t="s">
        <v>184</v>
      </c>
    </row>
    <row r="54" spans="2:8" ht="12.75">
      <c r="B54" t="s">
        <v>2</v>
      </c>
      <c r="C54" s="57">
        <v>70</v>
      </c>
      <c r="D54" t="s">
        <v>158</v>
      </c>
      <c r="E54" s="57">
        <v>30</v>
      </c>
      <c r="F54" t="s">
        <v>158</v>
      </c>
      <c r="G54" s="57">
        <v>100</v>
      </c>
      <c r="H54" t="s">
        <v>158</v>
      </c>
    </row>
    <row r="55" spans="2:8" ht="12.75">
      <c r="B55" t="s">
        <v>75</v>
      </c>
      <c r="C55" s="57">
        <v>30</v>
      </c>
      <c r="D55" t="s">
        <v>158</v>
      </c>
      <c r="E55" s="57">
        <v>70</v>
      </c>
      <c r="F55" t="s">
        <v>158</v>
      </c>
      <c r="G55" s="57">
        <v>0</v>
      </c>
      <c r="H55" t="s">
        <v>158</v>
      </c>
    </row>
    <row r="56" spans="2:8" ht="12.75">
      <c r="B56" t="s">
        <v>4</v>
      </c>
      <c r="C56" s="57">
        <v>0</v>
      </c>
      <c r="D56" t="s">
        <v>158</v>
      </c>
      <c r="E56" s="57">
        <v>0</v>
      </c>
      <c r="F56" t="s">
        <v>158</v>
      </c>
      <c r="G56" s="57">
        <v>0</v>
      </c>
      <c r="H56" t="s">
        <v>158</v>
      </c>
    </row>
    <row r="57" spans="2:8" ht="12.75">
      <c r="B57" t="s">
        <v>8</v>
      </c>
      <c r="C57" s="57">
        <f>SUM(C54:C56)</f>
        <v>100</v>
      </c>
      <c r="D57" t="s">
        <v>158</v>
      </c>
      <c r="E57" s="57">
        <f>SUM(E54:E56)</f>
        <v>100</v>
      </c>
      <c r="F57" t="s">
        <v>158</v>
      </c>
      <c r="G57" s="57">
        <f>SUM(G54:G56)</f>
        <v>100</v>
      </c>
      <c r="H57" t="s">
        <v>158</v>
      </c>
    </row>
    <row r="58" spans="3:7" ht="12.75">
      <c r="C58" s="62" t="str">
        <f>IF(C57=100,"Valid","Must total 100")</f>
        <v>Valid</v>
      </c>
      <c r="D58" s="2"/>
      <c r="E58" s="62" t="str">
        <f>IF(E57=100,"Valid","Must total 100")</f>
        <v>Valid</v>
      </c>
      <c r="F58" s="2"/>
      <c r="G58" s="62" t="str">
        <f>IF(G57=100,"Valid","Must total 100")</f>
        <v>Valid</v>
      </c>
    </row>
    <row r="59" spans="3:7" ht="12.75">
      <c r="C59" s="62"/>
      <c r="D59" s="2"/>
      <c r="E59" s="62"/>
      <c r="F59" s="2"/>
      <c r="G59" s="62"/>
    </row>
    <row r="60" spans="1:7" ht="15">
      <c r="A60" s="63" t="s">
        <v>217</v>
      </c>
      <c r="C60" s="62"/>
      <c r="D60" s="2"/>
      <c r="E60" s="62"/>
      <c r="F60" s="2"/>
      <c r="G60" s="62"/>
    </row>
    <row r="61" spans="1:7" ht="12.75">
      <c r="A61" s="16" t="s">
        <v>259</v>
      </c>
      <c r="C61" s="62"/>
      <c r="D61" s="2"/>
      <c r="E61" s="62"/>
      <c r="F61" s="2"/>
      <c r="G61" s="62"/>
    </row>
    <row r="63" spans="2:7" ht="12.75">
      <c r="B63" s="2" t="s">
        <v>157</v>
      </c>
      <c r="D63" s="2" t="s">
        <v>59</v>
      </c>
      <c r="E63" s="62"/>
      <c r="F63" s="66"/>
      <c r="G63" s="2" t="s">
        <v>280</v>
      </c>
    </row>
    <row r="64" spans="1:8" ht="12.75">
      <c r="A64" t="s">
        <v>2</v>
      </c>
      <c r="B64">
        <v>60</v>
      </c>
      <c r="C64" t="s">
        <v>158</v>
      </c>
      <c r="D64" s="33">
        <v>0.33</v>
      </c>
      <c r="E64" s="7" t="s">
        <v>218</v>
      </c>
      <c r="G64" s="67"/>
      <c r="H64" s="7" t="s">
        <v>218</v>
      </c>
    </row>
    <row r="65" spans="1:8" ht="12.75">
      <c r="A65" t="s">
        <v>75</v>
      </c>
      <c r="B65">
        <v>40</v>
      </c>
      <c r="C65" t="s">
        <v>158</v>
      </c>
      <c r="D65" s="33">
        <v>0.48</v>
      </c>
      <c r="E65" s="7" t="s">
        <v>218</v>
      </c>
      <c r="G65" s="67"/>
      <c r="H65" s="7" t="s">
        <v>218</v>
      </c>
    </row>
    <row r="66" spans="1:8" ht="12.75">
      <c r="A66" t="s">
        <v>4</v>
      </c>
      <c r="B66">
        <v>45</v>
      </c>
      <c r="C66" t="s">
        <v>158</v>
      </c>
      <c r="D66" s="33">
        <v>0.76</v>
      </c>
      <c r="E66" s="7" t="s">
        <v>218</v>
      </c>
      <c r="G66" s="67"/>
      <c r="H66" s="7" t="s">
        <v>218</v>
      </c>
    </row>
    <row r="67" spans="3:7" ht="12.75">
      <c r="C67" s="33"/>
      <c r="D67" s="7"/>
      <c r="E67" s="62"/>
      <c r="F67" s="2"/>
      <c r="G67" s="62"/>
    </row>
    <row r="68" spans="1:7" ht="15">
      <c r="A68" s="63" t="s">
        <v>209</v>
      </c>
      <c r="C68" s="58"/>
      <c r="D68" s="2"/>
      <c r="E68" s="58"/>
      <c r="F68" s="2"/>
      <c r="G68" s="58"/>
    </row>
    <row r="69" spans="3:7" ht="12.75">
      <c r="C69" s="58"/>
      <c r="D69" s="2"/>
      <c r="E69" s="58"/>
      <c r="F69" s="2"/>
      <c r="G69" s="58"/>
    </row>
    <row r="70" spans="1:7" ht="12.75">
      <c r="A70" s="1" t="s">
        <v>210</v>
      </c>
      <c r="C70" s="58"/>
      <c r="D70" s="2"/>
      <c r="E70" s="58"/>
      <c r="F70" s="2"/>
      <c r="G70" s="58"/>
    </row>
    <row r="71" spans="3:8" ht="12.75">
      <c r="C71" s="2" t="s">
        <v>157</v>
      </c>
      <c r="E71" s="58" t="s">
        <v>79</v>
      </c>
      <c r="F71" s="2"/>
      <c r="G71" s="58"/>
      <c r="H71" s="2" t="s">
        <v>212</v>
      </c>
    </row>
    <row r="72" spans="2:9" ht="12.75">
      <c r="B72" t="s">
        <v>2</v>
      </c>
      <c r="C72" s="4">
        <v>60</v>
      </c>
      <c r="D72" t="s">
        <v>158</v>
      </c>
      <c r="E72" s="4">
        <f>'Adjusted Heat Rates'!E21</f>
        <v>6177.050000000001</v>
      </c>
      <c r="F72" s="40" t="s">
        <v>211</v>
      </c>
      <c r="G72" s="64"/>
      <c r="H72" s="69">
        <f>'Adjusted Heat Rates'!E18</f>
        <v>0.006050000000000001</v>
      </c>
      <c r="I72" s="40" t="s">
        <v>25</v>
      </c>
    </row>
    <row r="73" spans="2:9" ht="12.75">
      <c r="B73" t="s">
        <v>75</v>
      </c>
      <c r="C73" s="4">
        <v>40</v>
      </c>
      <c r="D73" t="s">
        <v>158</v>
      </c>
      <c r="E73" s="65">
        <f>'Adjusted Heat Rates'!E33</f>
        <v>8984.800000000001</v>
      </c>
      <c r="F73" s="7" t="s">
        <v>211</v>
      </c>
      <c r="G73" s="64"/>
      <c r="H73" s="69">
        <f>'Adjusted Heat Rates'!E30</f>
        <v>0.008799999999999999</v>
      </c>
      <c r="I73" s="59" t="s">
        <v>25</v>
      </c>
    </row>
    <row r="74" spans="2:9" ht="12.75">
      <c r="B74" t="s">
        <v>4</v>
      </c>
      <c r="C74" s="4">
        <v>45</v>
      </c>
      <c r="D74" t="s">
        <v>158</v>
      </c>
      <c r="E74" s="4">
        <f>'Adjusted Heat Rates'!E46</f>
        <v>7691.200000000001</v>
      </c>
      <c r="F74" s="7" t="s">
        <v>211</v>
      </c>
      <c r="G74" s="58"/>
      <c r="H74" s="69">
        <f>'Adjusted Heat Rates'!E43</f>
        <v>0.304</v>
      </c>
      <c r="I74" s="59" t="s">
        <v>218</v>
      </c>
    </row>
    <row r="75" spans="2:11" ht="12.75">
      <c r="B75" s="16" t="s">
        <v>279</v>
      </c>
      <c r="C75" s="4"/>
      <c r="F75" s="2"/>
      <c r="G75" s="58"/>
      <c r="J75" s="64"/>
      <c r="K75" s="59"/>
    </row>
    <row r="76" spans="2:11" ht="12.75">
      <c r="B76" s="16" t="s">
        <v>345</v>
      </c>
      <c r="C76" s="58"/>
      <c r="D76" s="2"/>
      <c r="E76" s="58"/>
      <c r="F76" s="2"/>
      <c r="G76" s="58"/>
      <c r="J76" s="4"/>
      <c r="K76" s="40"/>
    </row>
    <row r="77" spans="2:7" ht="12.75">
      <c r="B77" s="2" t="s">
        <v>337</v>
      </c>
      <c r="C77" s="58"/>
      <c r="D77" s="2"/>
      <c r="E77" s="58"/>
      <c r="F77" s="2"/>
      <c r="G77" s="58"/>
    </row>
    <row r="78" spans="3:7" ht="12.75">
      <c r="C78" s="58"/>
      <c r="D78" s="2"/>
      <c r="E78" s="58"/>
      <c r="F78" s="2"/>
      <c r="G78" s="58"/>
    </row>
    <row r="79" spans="1:7" ht="15">
      <c r="A79" s="63" t="s">
        <v>199</v>
      </c>
      <c r="C79" s="58"/>
      <c r="D79" s="2"/>
      <c r="E79" s="58"/>
      <c r="F79" s="2"/>
      <c r="G79" s="58"/>
    </row>
    <row r="80" spans="1:7" ht="12.75">
      <c r="A80" s="1"/>
      <c r="C80" s="58"/>
      <c r="D80" s="2"/>
      <c r="E80" s="58"/>
      <c r="F80" s="2"/>
      <c r="G80" s="58"/>
    </row>
    <row r="81" spans="1:7" ht="12.75">
      <c r="A81" s="1" t="s">
        <v>169</v>
      </c>
      <c r="C81" s="86" t="s">
        <v>260</v>
      </c>
      <c r="D81" s="2"/>
      <c r="E81" s="58"/>
      <c r="F81" s="2"/>
      <c r="G81" s="58"/>
    </row>
    <row r="82" spans="1:7" ht="12.75">
      <c r="A82" s="7"/>
      <c r="C82" s="86" t="s">
        <v>281</v>
      </c>
      <c r="D82" s="2"/>
      <c r="E82" s="58"/>
      <c r="F82" s="2"/>
      <c r="G82" s="58"/>
    </row>
    <row r="83" spans="1:7" ht="12.75">
      <c r="A83" s="1" t="s">
        <v>170</v>
      </c>
      <c r="C83" s="86" t="s">
        <v>273</v>
      </c>
      <c r="D83" s="2"/>
      <c r="E83" s="58"/>
      <c r="F83" s="2"/>
      <c r="G83" s="58"/>
    </row>
    <row r="84" spans="1:16" ht="12.75">
      <c r="A84" s="1"/>
      <c r="C84" s="86" t="s">
        <v>282</v>
      </c>
      <c r="D84" s="2"/>
      <c r="E84" s="58"/>
      <c r="F84" s="2"/>
      <c r="G84" s="58"/>
      <c r="P84" t="s">
        <v>358</v>
      </c>
    </row>
    <row r="85" ht="12.75">
      <c r="C85" s="126" t="s">
        <v>261</v>
      </c>
    </row>
    <row r="86" ht="12.75">
      <c r="C86" s="126" t="s">
        <v>262</v>
      </c>
    </row>
    <row r="87" ht="12.75">
      <c r="C87" s="86" t="s">
        <v>269</v>
      </c>
    </row>
    <row r="88" ht="12.75">
      <c r="C88" s="86" t="s">
        <v>274</v>
      </c>
    </row>
    <row r="89" spans="1:19" ht="12.75">
      <c r="A89" s="2" t="s">
        <v>263</v>
      </c>
      <c r="C89" s="126"/>
      <c r="K89" s="76"/>
      <c r="L89" s="76"/>
      <c r="M89" s="76"/>
      <c r="N89" s="76"/>
      <c r="O89" s="76"/>
      <c r="P89" s="76"/>
      <c r="Q89" s="76"/>
      <c r="R89" s="76"/>
      <c r="S89" s="76"/>
    </row>
    <row r="90" spans="2:19" ht="12.75">
      <c r="B90" s="127" t="s">
        <v>2</v>
      </c>
      <c r="C90" s="35"/>
      <c r="D90" s="35"/>
      <c r="E90" s="35"/>
      <c r="F90" s="35"/>
      <c r="G90" s="35"/>
      <c r="H90" s="35"/>
      <c r="I90" s="35"/>
      <c r="K90" s="127" t="s">
        <v>75</v>
      </c>
      <c r="L90" s="35"/>
      <c r="M90" s="35"/>
      <c r="N90" s="35"/>
      <c r="O90" s="35"/>
      <c r="P90" s="35"/>
      <c r="Q90" s="35"/>
      <c r="R90" s="35"/>
      <c r="S90" s="128"/>
    </row>
    <row r="91" spans="2:17" ht="12.75">
      <c r="B91" t="s">
        <v>169</v>
      </c>
      <c r="D91" s="18" t="s">
        <v>356</v>
      </c>
      <c r="F91" t="s">
        <v>171</v>
      </c>
      <c r="H91" t="s">
        <v>200</v>
      </c>
      <c r="K91" t="s">
        <v>169</v>
      </c>
      <c r="M91" s="18" t="s">
        <v>356</v>
      </c>
      <c r="O91" t="s">
        <v>171</v>
      </c>
      <c r="Q91" t="s">
        <v>200</v>
      </c>
    </row>
    <row r="92" spans="4:17" ht="12.75">
      <c r="D92" s="18" t="s">
        <v>357</v>
      </c>
      <c r="H92" t="s">
        <v>201</v>
      </c>
      <c r="M92" s="18" t="s">
        <v>357</v>
      </c>
      <c r="Q92" t="s">
        <v>201</v>
      </c>
    </row>
    <row r="104" spans="1:18" ht="12.75">
      <c r="A104" t="s">
        <v>208</v>
      </c>
      <c r="B104" s="29">
        <f>'Interface Values'!C26</f>
        <v>20</v>
      </c>
      <c r="C104" t="s">
        <v>158</v>
      </c>
      <c r="D104">
        <f>'Interface Values'!D26</f>
        <v>50</v>
      </c>
      <c r="E104" t="s">
        <v>158</v>
      </c>
      <c r="F104">
        <f>'Interface Values'!E26</f>
        <v>10</v>
      </c>
      <c r="G104" t="s">
        <v>158</v>
      </c>
      <c r="H104">
        <f>'Interface Values'!F26</f>
        <v>8</v>
      </c>
      <c r="I104" t="s">
        <v>158</v>
      </c>
      <c r="K104" s="29">
        <f>'Interface Values'!C28</f>
        <v>20</v>
      </c>
      <c r="L104" t="s">
        <v>158</v>
      </c>
      <c r="M104">
        <f>'Interface Values'!D28</f>
        <v>100</v>
      </c>
      <c r="N104" t="s">
        <v>158</v>
      </c>
      <c r="O104">
        <f>'Interface Values'!E28</f>
        <v>20</v>
      </c>
      <c r="P104" t="s">
        <v>158</v>
      </c>
      <c r="Q104">
        <f>'Interface Values'!F28</f>
        <v>29</v>
      </c>
      <c r="R104" t="s">
        <v>158</v>
      </c>
    </row>
    <row r="105" spans="2:11" ht="12.75">
      <c r="B105" s="29"/>
      <c r="K105" s="29"/>
    </row>
    <row r="106" spans="1:11" ht="12.75">
      <c r="A106" s="2" t="s">
        <v>159</v>
      </c>
      <c r="B106" s="29"/>
      <c r="K106" s="29"/>
    </row>
    <row r="107" spans="2:18" ht="12.75">
      <c r="B107" s="127" t="s">
        <v>267</v>
      </c>
      <c r="C107" s="35"/>
      <c r="D107" s="35"/>
      <c r="E107" s="35"/>
      <c r="F107" s="35"/>
      <c r="G107" s="35"/>
      <c r="H107" s="35"/>
      <c r="I107" s="35"/>
      <c r="K107" s="127" t="s">
        <v>268</v>
      </c>
      <c r="L107" s="35"/>
      <c r="M107" s="35"/>
      <c r="N107" s="35"/>
      <c r="O107" s="35"/>
      <c r="P107" s="35"/>
      <c r="Q107" s="35"/>
      <c r="R107" s="35"/>
    </row>
    <row r="108" spans="2:17" ht="12.75">
      <c r="B108" t="s">
        <v>169</v>
      </c>
      <c r="D108" s="18" t="s">
        <v>356</v>
      </c>
      <c r="F108" t="s">
        <v>171</v>
      </c>
      <c r="H108" t="s">
        <v>200</v>
      </c>
      <c r="K108" t="s">
        <v>169</v>
      </c>
      <c r="M108" s="18" t="s">
        <v>356</v>
      </c>
      <c r="O108" t="s">
        <v>171</v>
      </c>
      <c r="Q108" t="s">
        <v>200</v>
      </c>
    </row>
    <row r="109" spans="4:17" ht="12.75">
      <c r="D109" s="18" t="s">
        <v>357</v>
      </c>
      <c r="H109" t="s">
        <v>201</v>
      </c>
      <c r="M109" s="18" t="s">
        <v>357</v>
      </c>
      <c r="Q109" t="s">
        <v>201</v>
      </c>
    </row>
    <row r="121" spans="1:18" ht="12.75">
      <c r="A121" t="s">
        <v>208</v>
      </c>
      <c r="B121" s="29">
        <f>'Interface Values'!C31</f>
        <v>20</v>
      </c>
      <c r="C121" t="s">
        <v>158</v>
      </c>
      <c r="D121">
        <f>'Interface Values'!D31</f>
        <v>100</v>
      </c>
      <c r="E121" t="s">
        <v>158</v>
      </c>
      <c r="F121">
        <f>'Interface Values'!E31</f>
        <v>20</v>
      </c>
      <c r="G121" t="s">
        <v>158</v>
      </c>
      <c r="H121">
        <f>'Interface Values'!F31</f>
        <v>28</v>
      </c>
      <c r="I121" t="s">
        <v>158</v>
      </c>
      <c r="K121" s="29">
        <f>'Interface Values'!C32</f>
        <v>23</v>
      </c>
      <c r="L121" t="s">
        <v>158</v>
      </c>
      <c r="M121">
        <f>'Interface Values'!D32</f>
        <v>100</v>
      </c>
      <c r="N121" t="s">
        <v>158</v>
      </c>
      <c r="O121">
        <f>'Interface Values'!E32</f>
        <v>23</v>
      </c>
      <c r="P121" t="s">
        <v>158</v>
      </c>
      <c r="Q121">
        <f>'Interface Values'!F32</f>
        <v>32.199999999999996</v>
      </c>
      <c r="R121" t="s">
        <v>158</v>
      </c>
    </row>
    <row r="122" spans="2:11" ht="12.75">
      <c r="B122" s="29"/>
      <c r="K122" s="29"/>
    </row>
    <row r="123" spans="1:11" ht="15">
      <c r="A123" s="63" t="s">
        <v>266</v>
      </c>
      <c r="B123" s="29"/>
      <c r="K123" s="29"/>
    </row>
    <row r="125" spans="5:12" ht="12.75">
      <c r="E125" s="1" t="s">
        <v>160</v>
      </c>
      <c r="J125" s="1" t="s">
        <v>59</v>
      </c>
      <c r="L125" t="s">
        <v>181</v>
      </c>
    </row>
    <row r="126" spans="5:16" ht="12.75">
      <c r="E126" s="18" t="s">
        <v>63</v>
      </c>
      <c r="F126" s="18"/>
      <c r="G126" s="18" t="s">
        <v>4</v>
      </c>
      <c r="H126" s="18"/>
      <c r="I126" s="18"/>
      <c r="J126" s="18"/>
      <c r="K126" s="18"/>
      <c r="L126" s="18" t="s">
        <v>63</v>
      </c>
      <c r="M126" s="18"/>
      <c r="N126" s="18" t="s">
        <v>4</v>
      </c>
      <c r="O126" s="18"/>
      <c r="P126" s="18" t="s">
        <v>8</v>
      </c>
    </row>
    <row r="127" spans="1:17" ht="12.75">
      <c r="A127" t="s">
        <v>175</v>
      </c>
      <c r="E127" s="4">
        <f>Calculator!D70</f>
        <v>176715.297792</v>
      </c>
      <c r="F127" t="s">
        <v>27</v>
      </c>
      <c r="G127" s="4">
        <f>Calculator!D65+Calculator!D69</f>
        <v>0</v>
      </c>
      <c r="H127" t="s">
        <v>124</v>
      </c>
      <c r="J127" t="s">
        <v>175</v>
      </c>
      <c r="L127" s="71">
        <f>Calculator!D84+Calculator!D85+Calculator!D88+Calculator!D89</f>
        <v>9.6390162432</v>
      </c>
      <c r="M127" s="71" t="s">
        <v>161</v>
      </c>
      <c r="N127" s="71">
        <f>Calculator!D86+Calculator!D90</f>
        <v>0</v>
      </c>
      <c r="O127" s="71" t="s">
        <v>161</v>
      </c>
      <c r="P127" s="71">
        <f>Calculator!D91</f>
        <v>9.6390162432</v>
      </c>
      <c r="Q127" t="s">
        <v>161</v>
      </c>
    </row>
    <row r="128" spans="1:17" ht="12.75">
      <c r="A128" t="s">
        <v>176</v>
      </c>
      <c r="E128" s="4">
        <f>Calculator!D58</f>
        <v>169593.6</v>
      </c>
      <c r="F128" t="s">
        <v>27</v>
      </c>
      <c r="G128" s="4">
        <f>Calculator!D59</f>
        <v>0</v>
      </c>
      <c r="H128" t="s">
        <v>124</v>
      </c>
      <c r="J128" t="s">
        <v>176</v>
      </c>
      <c r="L128" s="71">
        <f>Calculator!D78+Calculator!D79</f>
        <v>9.25056</v>
      </c>
      <c r="M128" s="71" t="s">
        <v>161</v>
      </c>
      <c r="N128" s="71">
        <f>Calculator!D80</f>
        <v>0</v>
      </c>
      <c r="O128" s="71" t="s">
        <v>161</v>
      </c>
      <c r="P128" s="71">
        <f>Calculator!D81</f>
        <v>9.25056</v>
      </c>
      <c r="Q128" t="s">
        <v>161</v>
      </c>
    </row>
    <row r="129" spans="1:17" ht="12.75">
      <c r="A129" t="s">
        <v>177</v>
      </c>
      <c r="E129" s="4">
        <f>E128-E127</f>
        <v>-7121.697791999992</v>
      </c>
      <c r="F129" t="s">
        <v>27</v>
      </c>
      <c r="G129" s="4">
        <f>G128-G127</f>
        <v>0</v>
      </c>
      <c r="H129" t="s">
        <v>124</v>
      </c>
      <c r="J129" t="s">
        <v>177</v>
      </c>
      <c r="L129" s="71">
        <f>L128-L127</f>
        <v>-0.3884562432000003</v>
      </c>
      <c r="M129" s="71" t="s">
        <v>161</v>
      </c>
      <c r="N129" s="71">
        <f>N128-N127</f>
        <v>0</v>
      </c>
      <c r="O129" s="71" t="s">
        <v>161</v>
      </c>
      <c r="P129" s="71">
        <f>P128-P127</f>
        <v>-0.3884562432000003</v>
      </c>
      <c r="Q129" t="s">
        <v>161</v>
      </c>
    </row>
    <row r="130" spans="1:16" ht="12.75">
      <c r="A130" t="s">
        <v>327</v>
      </c>
      <c r="E130" s="129">
        <f>IF(E128=0,"NA",E129/E128)</f>
        <v>-0.04199272727272722</v>
      </c>
      <c r="F130" s="16"/>
      <c r="G130" s="129" t="str">
        <f>IF(G128=0,"NA",G129/G128)</f>
        <v>NA</v>
      </c>
      <c r="H130" s="16"/>
      <c r="I130" s="16"/>
      <c r="J130" s="16"/>
      <c r="K130" s="16"/>
      <c r="L130" s="129">
        <f>IF(L128=0,"NA",L129/L128)</f>
        <v>-0.0419927272727273</v>
      </c>
      <c r="M130" s="16"/>
      <c r="N130" s="129" t="str">
        <f>IF(N128=0,"NA",N129/N128)</f>
        <v>NA</v>
      </c>
      <c r="O130" s="16"/>
      <c r="P130" s="129">
        <f>IF(P128=0,"NA",P129/P128)</f>
        <v>-0.0419927272727273</v>
      </c>
    </row>
    <row r="131" spans="5:16" ht="12.75">
      <c r="E131" s="129"/>
      <c r="F131" s="16"/>
      <c r="G131" s="129"/>
      <c r="H131" s="16"/>
      <c r="I131" s="16"/>
      <c r="J131" s="16"/>
      <c r="K131" s="16"/>
      <c r="L131" s="129"/>
      <c r="M131" s="16"/>
      <c r="N131" s="129"/>
      <c r="O131" s="16"/>
      <c r="P131" s="129"/>
    </row>
    <row r="132" spans="1:16" ht="12.75">
      <c r="A132" s="1" t="s">
        <v>328</v>
      </c>
      <c r="E132" s="129"/>
      <c r="F132" s="16"/>
      <c r="G132" s="129"/>
      <c r="H132" s="16"/>
      <c r="I132" s="16"/>
      <c r="J132" s="16"/>
      <c r="K132" s="16"/>
      <c r="L132" s="129"/>
      <c r="M132" s="16"/>
      <c r="N132" s="129"/>
      <c r="O132" s="16"/>
      <c r="P132" s="129"/>
    </row>
    <row r="133" spans="1:16" ht="12.75">
      <c r="A133" s="1"/>
      <c r="E133" s="129" t="s">
        <v>341</v>
      </c>
      <c r="F133" s="16"/>
      <c r="G133" s="129"/>
      <c r="H133" s="16"/>
      <c r="I133" s="16"/>
      <c r="J133" s="16"/>
      <c r="K133" s="16"/>
      <c r="L133" s="129"/>
      <c r="M133" s="16"/>
      <c r="N133" s="129"/>
      <c r="O133" s="16"/>
      <c r="P133" s="129"/>
    </row>
    <row r="134" spans="1:16" ht="12.75">
      <c r="A134" t="str">
        <f>IF(P129&gt;0,"Mitigation","Subsidization")</f>
        <v>Subsidization</v>
      </c>
      <c r="C134" s="139">
        <f>IF(P129&gt;0,Costs!E58,Costs!E57)</f>
        <v>4682.490378324288</v>
      </c>
      <c r="D134" s="4" t="s">
        <v>323</v>
      </c>
      <c r="E134" s="57">
        <v>0.71</v>
      </c>
      <c r="F134" s="8">
        <f>C134*E134</f>
        <v>3324.5681686102444</v>
      </c>
      <c r="G134" s="141" t="s">
        <v>332</v>
      </c>
      <c r="H134" s="16" t="s">
        <v>368</v>
      </c>
      <c r="I134" s="16"/>
      <c r="J134" s="16"/>
      <c r="K134" s="16"/>
      <c r="L134" s="129"/>
      <c r="M134" s="16"/>
      <c r="N134" s="129"/>
      <c r="O134" s="16"/>
      <c r="P134" s="129"/>
    </row>
    <row r="135" spans="5:16" ht="12.75">
      <c r="E135" s="129"/>
      <c r="F135" s="16"/>
      <c r="G135" s="129"/>
      <c r="H135" s="16" t="s">
        <v>369</v>
      </c>
      <c r="I135" s="16"/>
      <c r="J135" s="16"/>
      <c r="K135" s="16"/>
      <c r="N135" s="129"/>
      <c r="O135" s="149">
        <f>Costs!M31/100</f>
        <v>1</v>
      </c>
      <c r="P135" s="129"/>
    </row>
    <row r="136" ht="12.75">
      <c r="H136" s="16" t="s">
        <v>367</v>
      </c>
    </row>
  </sheetData>
  <sheetProtection/>
  <hyperlinks>
    <hyperlink ref="G3" r:id="rId1" display="http://www.masterresource.org/ "/>
  </hyperlinks>
  <printOptions/>
  <pageMargins left="0.75" right="0.75" top="1" bottom="1" header="0.5" footer="0.5"/>
  <pageSetup fitToHeight="2" fitToWidth="1" orientation="portrait" scale="51"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22">
      <selection activeCell="E43" sqref="E43"/>
    </sheetView>
  </sheetViews>
  <sheetFormatPr defaultColWidth="9.140625" defaultRowHeight="12.75"/>
  <cols>
    <col min="5" max="5" width="10.28125" style="0" bestFit="1" customWidth="1"/>
  </cols>
  <sheetData>
    <row r="1" ht="12.75">
      <c r="A1" s="1" t="s">
        <v>213</v>
      </c>
    </row>
    <row r="3" ht="12.75">
      <c r="A3" t="s">
        <v>214</v>
      </c>
    </row>
    <row r="4" ht="12.75">
      <c r="A4" t="s">
        <v>215</v>
      </c>
    </row>
    <row r="5" ht="12.75">
      <c r="A5" t="s">
        <v>233</v>
      </c>
    </row>
    <row r="7" ht="12.75">
      <c r="A7" t="s">
        <v>234</v>
      </c>
    </row>
    <row r="9" ht="12.75">
      <c r="A9" t="s">
        <v>245</v>
      </c>
    </row>
    <row r="11" ht="12.75">
      <c r="A11" t="s">
        <v>216</v>
      </c>
    </row>
    <row r="13" spans="1:13" ht="12.75">
      <c r="A13" s="1" t="s">
        <v>2</v>
      </c>
      <c r="H13" s="3"/>
      <c r="I13" s="3"/>
      <c r="J13" s="3"/>
      <c r="K13" s="3"/>
      <c r="L13" s="3"/>
      <c r="M13" s="3"/>
    </row>
    <row r="14" spans="1:6" ht="12.75">
      <c r="A14" t="s">
        <v>219</v>
      </c>
      <c r="E14">
        <v>0.33</v>
      </c>
      <c r="F14" t="s">
        <v>218</v>
      </c>
    </row>
    <row r="15" spans="1:6" ht="12.75">
      <c r="A15" t="s">
        <v>222</v>
      </c>
      <c r="E15" s="4">
        <f>E14*10^3*2.2</f>
        <v>726.0000000000001</v>
      </c>
      <c r="F15" t="s">
        <v>223</v>
      </c>
    </row>
    <row r="16" spans="1:6" ht="12.75">
      <c r="A16" t="s">
        <v>220</v>
      </c>
      <c r="E16">
        <v>0.12</v>
      </c>
      <c r="F16" t="s">
        <v>221</v>
      </c>
    </row>
    <row r="17" spans="1:6" ht="12.75">
      <c r="A17" t="s">
        <v>224</v>
      </c>
      <c r="E17" s="4">
        <f>E15/E16</f>
        <v>6050.000000000001</v>
      </c>
      <c r="F17" t="s">
        <v>225</v>
      </c>
    </row>
    <row r="18" spans="5:6" ht="12.75">
      <c r="E18">
        <f>E17*10^-6</f>
        <v>0.006050000000000001</v>
      </c>
      <c r="F18" t="s">
        <v>25</v>
      </c>
    </row>
    <row r="19" spans="1:6" ht="12.75">
      <c r="A19" t="s">
        <v>226</v>
      </c>
      <c r="E19" s="4">
        <v>1021</v>
      </c>
      <c r="F19" t="s">
        <v>17</v>
      </c>
    </row>
    <row r="20" spans="1:6" ht="12.75">
      <c r="A20" t="s">
        <v>227</v>
      </c>
      <c r="E20" s="4">
        <f>E17*E19</f>
        <v>6177050.000000001</v>
      </c>
      <c r="F20" t="s">
        <v>228</v>
      </c>
    </row>
    <row r="21" spans="5:8" ht="12.75">
      <c r="E21" s="4">
        <f>E20*10^-3</f>
        <v>6177.050000000001</v>
      </c>
      <c r="F21" t="s">
        <v>229</v>
      </c>
      <c r="H21" s="4"/>
    </row>
    <row r="22" spans="1:6" ht="12.75">
      <c r="A22" t="s">
        <v>230</v>
      </c>
      <c r="E22" s="4">
        <v>6597</v>
      </c>
      <c r="F22" t="s">
        <v>229</v>
      </c>
    </row>
    <row r="23" spans="1:5" ht="12.75">
      <c r="A23" t="s">
        <v>231</v>
      </c>
      <c r="E23" s="68">
        <f>(E22-E21)/E21</f>
        <v>0.067985527071984</v>
      </c>
    </row>
    <row r="25" ht="12.75">
      <c r="A25" s="1" t="s">
        <v>75</v>
      </c>
    </row>
    <row r="26" spans="1:6" ht="12.75">
      <c r="A26" t="s">
        <v>219</v>
      </c>
      <c r="E26">
        <v>0.48</v>
      </c>
      <c r="F26" t="s">
        <v>218</v>
      </c>
    </row>
    <row r="27" spans="1:6" ht="12.75">
      <c r="A27" t="s">
        <v>222</v>
      </c>
      <c r="E27" s="4">
        <f>E26*10^3*2.2</f>
        <v>1056</v>
      </c>
      <c r="F27" t="s">
        <v>223</v>
      </c>
    </row>
    <row r="28" spans="1:6" ht="12.75">
      <c r="A28" t="s">
        <v>220</v>
      </c>
      <c r="E28">
        <v>0.12</v>
      </c>
      <c r="F28" t="s">
        <v>221</v>
      </c>
    </row>
    <row r="29" spans="1:6" ht="12.75">
      <c r="A29" t="s">
        <v>224</v>
      </c>
      <c r="E29" s="4">
        <f>E27/E28</f>
        <v>8800</v>
      </c>
      <c r="F29" t="s">
        <v>225</v>
      </c>
    </row>
    <row r="30" spans="5:6" ht="12.75">
      <c r="E30">
        <f>E29*10^-6</f>
        <v>0.008799999999999999</v>
      </c>
      <c r="F30" t="s">
        <v>25</v>
      </c>
    </row>
    <row r="31" spans="1:6" ht="12.75">
      <c r="A31" t="s">
        <v>226</v>
      </c>
      <c r="E31" s="4">
        <v>1021</v>
      </c>
      <c r="F31" t="s">
        <v>17</v>
      </c>
    </row>
    <row r="32" spans="1:6" ht="12.75">
      <c r="A32" t="s">
        <v>227</v>
      </c>
      <c r="E32" s="4">
        <f>E29*E31</f>
        <v>8984800</v>
      </c>
      <c r="F32" t="s">
        <v>228</v>
      </c>
    </row>
    <row r="33" spans="5:6" ht="12.75">
      <c r="E33" s="4">
        <f>E32*10^-3</f>
        <v>8984.800000000001</v>
      </c>
      <c r="F33" t="s">
        <v>229</v>
      </c>
    </row>
    <row r="34" spans="1:6" ht="12.75">
      <c r="A34" t="s">
        <v>230</v>
      </c>
      <c r="E34" s="4">
        <v>10135</v>
      </c>
      <c r="F34" t="s">
        <v>229</v>
      </c>
    </row>
    <row r="35" ht="12.75">
      <c r="E35" s="68">
        <f>(E34-E33)/E33</f>
        <v>0.12801620514646947</v>
      </c>
    </row>
    <row r="36" ht="12.75">
      <c r="A36" s="1" t="s">
        <v>4</v>
      </c>
    </row>
    <row r="37" spans="1:6" ht="12.75">
      <c r="A37" t="s">
        <v>219</v>
      </c>
      <c r="E37">
        <f>0.76</f>
        <v>0.76</v>
      </c>
      <c r="F37" t="s">
        <v>218</v>
      </c>
    </row>
    <row r="38" spans="1:6" ht="12.75">
      <c r="A38" t="s">
        <v>236</v>
      </c>
      <c r="E38" s="30">
        <v>2.5</v>
      </c>
      <c r="F38" t="s">
        <v>235</v>
      </c>
    </row>
    <row r="39" spans="1:13" ht="12.75">
      <c r="A39" s="72" t="s">
        <v>241</v>
      </c>
      <c r="B39" s="73"/>
      <c r="C39" s="73"/>
      <c r="D39" s="73"/>
      <c r="E39" s="73"/>
      <c r="F39" s="73"/>
      <c r="G39" s="73"/>
      <c r="H39" s="73"/>
      <c r="I39" s="73" t="s">
        <v>242</v>
      </c>
      <c r="J39" s="73"/>
      <c r="K39" s="73"/>
      <c r="L39" s="73"/>
      <c r="M39" s="74"/>
    </row>
    <row r="40" spans="1:13" ht="12.75">
      <c r="A40" s="75" t="s">
        <v>237</v>
      </c>
      <c r="B40" s="76"/>
      <c r="C40" s="76"/>
      <c r="D40" s="76"/>
      <c r="E40" s="76"/>
      <c r="F40" s="76"/>
      <c r="G40" s="76"/>
      <c r="H40" s="76"/>
      <c r="I40" s="77" t="s">
        <v>110</v>
      </c>
      <c r="J40" s="76"/>
      <c r="K40" s="76"/>
      <c r="L40" s="76"/>
      <c r="M40" s="78"/>
    </row>
    <row r="41" spans="1:13" ht="12.75">
      <c r="A41" s="75" t="s">
        <v>247</v>
      </c>
      <c r="B41" s="76"/>
      <c r="C41" s="76"/>
      <c r="D41" s="76"/>
      <c r="E41" s="76">
        <v>2.5</v>
      </c>
      <c r="F41" s="76" t="s">
        <v>235</v>
      </c>
      <c r="G41" s="76"/>
      <c r="H41" s="76"/>
      <c r="I41" s="76" t="s">
        <v>243</v>
      </c>
      <c r="J41" s="76"/>
      <c r="K41" s="15">
        <f>746+746*32/12</f>
        <v>2735.333333333333</v>
      </c>
      <c r="L41" s="76"/>
      <c r="M41" s="78"/>
    </row>
    <row r="42" spans="1:13" ht="12.75">
      <c r="A42" s="70" t="s">
        <v>248</v>
      </c>
      <c r="B42" s="31"/>
      <c r="C42" s="31"/>
      <c r="D42" s="31"/>
      <c r="E42" s="31"/>
      <c r="F42" s="31"/>
      <c r="G42" s="31"/>
      <c r="H42" s="31"/>
      <c r="I42" s="31" t="s">
        <v>244</v>
      </c>
      <c r="J42" s="31"/>
      <c r="K42" s="80">
        <f>K41/1000</f>
        <v>2.735333333333333</v>
      </c>
      <c r="L42" s="31"/>
      <c r="M42" s="81"/>
    </row>
    <row r="43" spans="1:6" ht="12.75">
      <c r="A43" t="s">
        <v>238</v>
      </c>
      <c r="E43" s="71">
        <f>E37/E38</f>
        <v>0.304</v>
      </c>
      <c r="F43" t="s">
        <v>218</v>
      </c>
    </row>
    <row r="44" spans="1:6" ht="12.75">
      <c r="A44" t="s">
        <v>240</v>
      </c>
      <c r="E44" s="4">
        <v>11500</v>
      </c>
      <c r="F44" t="s">
        <v>239</v>
      </c>
    </row>
    <row r="45" spans="1:6" ht="12.75">
      <c r="A45" t="s">
        <v>228</v>
      </c>
      <c r="E45" s="4">
        <f>E43*10^3*2.2*E44</f>
        <v>7691200.000000001</v>
      </c>
      <c r="F45" t="s">
        <v>228</v>
      </c>
    </row>
    <row r="46" spans="5:6" ht="12.75">
      <c r="E46" s="4">
        <f>E45*10^-3</f>
        <v>7691.200000000001</v>
      </c>
      <c r="F46" t="s">
        <v>229</v>
      </c>
    </row>
    <row r="47" spans="1:9" ht="12.75">
      <c r="A47" s="72" t="s">
        <v>249</v>
      </c>
      <c r="B47" s="73"/>
      <c r="C47" s="82" t="s">
        <v>250</v>
      </c>
      <c r="D47" s="73"/>
      <c r="E47" s="83"/>
      <c r="F47" s="73"/>
      <c r="G47" s="73"/>
      <c r="H47" s="73"/>
      <c r="I47" s="74"/>
    </row>
    <row r="48" spans="1:9" ht="15">
      <c r="A48" s="79"/>
      <c r="B48" s="31"/>
      <c r="C48" s="84" t="s">
        <v>251</v>
      </c>
      <c r="D48" s="31"/>
      <c r="E48" s="85"/>
      <c r="F48" s="31"/>
      <c r="G48" s="31"/>
      <c r="H48" s="31"/>
      <c r="I48" s="81"/>
    </row>
    <row r="49" ht="12.75">
      <c r="E49" s="4"/>
    </row>
    <row r="50" ht="12.75">
      <c r="A50" s="1" t="s">
        <v>246</v>
      </c>
    </row>
    <row r="52" ht="12.75">
      <c r="A52" t="s">
        <v>2</v>
      </c>
    </row>
    <row r="53" ht="12.75">
      <c r="A53" t="s">
        <v>75</v>
      </c>
    </row>
    <row r="54" ht="12.75">
      <c r="A54" t="s">
        <v>4</v>
      </c>
    </row>
  </sheetData>
  <sheetProtection/>
  <hyperlinks>
    <hyperlink ref="I40" r:id="rId1" display="http://bioenergy.ornl.gov/papers/misc/energy_conv.html "/>
    <hyperlink ref="A42" r:id="rId2" display="http://en.wikipedia.org/wiki/Carbon_tax"/>
    <hyperlink ref="C47" r:id="rId3" display="http://www.npc.org/Study_Topic_Papers/4-DTG-ElectricEfficiency.pdf"/>
  </hyperlinks>
  <printOptions/>
  <pageMargins left="0.75" right="0.75" top="1" bottom="1" header="0.5" footer="0.5"/>
  <pageSetup fitToHeight="1" fitToWidth="1" orientation="portrait" scale="61" r:id="rId4"/>
</worksheet>
</file>

<file path=xl/worksheets/sheet4.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1">
      <selection activeCell="I3" sqref="I3"/>
    </sheetView>
  </sheetViews>
  <sheetFormatPr defaultColWidth="9.140625" defaultRowHeight="12.75"/>
  <cols>
    <col min="3" max="3" width="10.140625" style="0" bestFit="1" customWidth="1"/>
    <col min="6" max="6" width="10.421875" style="0" customWidth="1"/>
    <col min="7" max="7" width="9.28125" style="0" bestFit="1" customWidth="1"/>
    <col min="8" max="8" width="10.421875" style="0" customWidth="1"/>
    <col min="9" max="9" width="10.00390625" style="0" customWidth="1"/>
  </cols>
  <sheetData>
    <row r="1" ht="15.75">
      <c r="A1" s="56" t="s">
        <v>283</v>
      </c>
    </row>
    <row r="3" spans="1:9" ht="12.75">
      <c r="A3" s="133" t="s">
        <v>286</v>
      </c>
      <c r="I3" s="70" t="s">
        <v>284</v>
      </c>
    </row>
    <row r="5" spans="3:9" ht="12.75">
      <c r="C5" s="18" t="s">
        <v>285</v>
      </c>
      <c r="D5" s="142" t="s">
        <v>287</v>
      </c>
      <c r="E5" s="142"/>
      <c r="F5" s="142"/>
      <c r="G5" s="142"/>
      <c r="H5" s="142"/>
      <c r="I5" s="142"/>
    </row>
    <row r="6" spans="3:9" ht="12.75">
      <c r="C6" s="18" t="s">
        <v>78</v>
      </c>
      <c r="D6" s="18" t="s">
        <v>288</v>
      </c>
      <c r="E6" s="18" t="s">
        <v>289</v>
      </c>
      <c r="F6" s="18" t="s">
        <v>291</v>
      </c>
      <c r="G6" s="18" t="s">
        <v>8</v>
      </c>
      <c r="H6" s="18" t="s">
        <v>8</v>
      </c>
      <c r="I6" s="18" t="s">
        <v>8</v>
      </c>
    </row>
    <row r="7" spans="3:9" ht="12.75">
      <c r="C7" s="18" t="s">
        <v>297</v>
      </c>
      <c r="D7" s="18"/>
      <c r="E7" s="18" t="s">
        <v>290</v>
      </c>
      <c r="F7" s="18" t="s">
        <v>290</v>
      </c>
      <c r="G7" s="18"/>
      <c r="H7" s="18" t="s">
        <v>292</v>
      </c>
      <c r="I7" s="18" t="s">
        <v>306</v>
      </c>
    </row>
    <row r="8" spans="4:9" ht="12.75">
      <c r="D8" s="18"/>
      <c r="E8" s="18"/>
      <c r="F8" s="18"/>
      <c r="G8" s="18"/>
      <c r="H8" s="18" t="s">
        <v>293</v>
      </c>
      <c r="I8" s="18" t="s">
        <v>307</v>
      </c>
    </row>
    <row r="9" spans="1:9" ht="12.75">
      <c r="A9" t="s">
        <v>184</v>
      </c>
      <c r="C9" s="68">
        <v>0.344</v>
      </c>
      <c r="D9">
        <v>130.5</v>
      </c>
      <c r="E9">
        <v>10.4</v>
      </c>
      <c r="F9">
        <v>0</v>
      </c>
      <c r="G9" s="30">
        <f>SUM(D9:F9)</f>
        <v>140.9</v>
      </c>
      <c r="H9" s="30">
        <f>G9-E9</f>
        <v>130.5</v>
      </c>
      <c r="I9" s="30">
        <f>G9-F9</f>
        <v>140.9</v>
      </c>
    </row>
    <row r="10" spans="1:9" ht="12.75">
      <c r="A10" t="s">
        <v>2</v>
      </c>
      <c r="C10" s="68">
        <v>0.87</v>
      </c>
      <c r="D10">
        <v>22.9</v>
      </c>
      <c r="E10">
        <v>1.7</v>
      </c>
      <c r="F10">
        <v>54.9</v>
      </c>
      <c r="G10" s="30">
        <f>SUM(D10:F10)</f>
        <v>79.5</v>
      </c>
      <c r="H10" s="30">
        <f>G10-E10</f>
        <v>77.8</v>
      </c>
      <c r="I10" s="30">
        <f>G10-F10</f>
        <v>24.6</v>
      </c>
    </row>
    <row r="11" spans="1:9" ht="12.75">
      <c r="A11" t="s">
        <v>75</v>
      </c>
      <c r="C11" s="68">
        <v>0.3</v>
      </c>
      <c r="D11">
        <v>41.1</v>
      </c>
      <c r="E11">
        <v>4.7</v>
      </c>
      <c r="F11">
        <v>82.9</v>
      </c>
      <c r="G11" s="30">
        <f>SUM(D11:F11)</f>
        <v>128.70000000000002</v>
      </c>
      <c r="H11" s="30">
        <f>G11-E11</f>
        <v>124.00000000000001</v>
      </c>
      <c r="I11" s="30">
        <f>G11-F11</f>
        <v>45.80000000000001</v>
      </c>
    </row>
    <row r="12" spans="1:9" ht="12.75">
      <c r="A12" t="s">
        <v>4</v>
      </c>
      <c r="C12" s="68">
        <v>0.85</v>
      </c>
      <c r="D12">
        <v>69.2</v>
      </c>
      <c r="E12">
        <v>3.8</v>
      </c>
      <c r="F12">
        <v>23.9</v>
      </c>
      <c r="G12" s="30">
        <f>SUM(D12:F12)</f>
        <v>96.9</v>
      </c>
      <c r="H12" s="30">
        <f>G12-E12</f>
        <v>93.10000000000001</v>
      </c>
      <c r="I12" s="30">
        <f>G12-F12</f>
        <v>73</v>
      </c>
    </row>
    <row r="14" ht="12.75">
      <c r="A14" t="s">
        <v>347</v>
      </c>
    </row>
    <row r="15" ht="12.75">
      <c r="A15" t="s">
        <v>348</v>
      </c>
    </row>
    <row r="17" ht="12.75">
      <c r="A17" s="1" t="s">
        <v>314</v>
      </c>
    </row>
    <row r="18" spans="3:10" ht="12.75">
      <c r="C18" s="142" t="s">
        <v>295</v>
      </c>
      <c r="D18" s="142"/>
      <c r="E18" t="s">
        <v>299</v>
      </c>
      <c r="J18" t="s">
        <v>352</v>
      </c>
    </row>
    <row r="19" spans="1:10" ht="12.75">
      <c r="A19" t="s">
        <v>300</v>
      </c>
      <c r="C19" s="18" t="s">
        <v>296</v>
      </c>
      <c r="D19" s="18" t="s">
        <v>298</v>
      </c>
      <c r="E19" s="18" t="s">
        <v>298</v>
      </c>
      <c r="F19" s="35" t="s">
        <v>308</v>
      </c>
      <c r="G19" s="35"/>
      <c r="H19" s="35"/>
      <c r="J19" t="s">
        <v>355</v>
      </c>
    </row>
    <row r="20" spans="5:10" ht="12.75">
      <c r="E20" s="137" t="s">
        <v>301</v>
      </c>
      <c r="F20" s="18" t="s">
        <v>312</v>
      </c>
      <c r="G20" s="18" t="s">
        <v>309</v>
      </c>
      <c r="H20" s="18" t="s">
        <v>8</v>
      </c>
      <c r="J20" s="143" t="s">
        <v>353</v>
      </c>
    </row>
    <row r="21" spans="5:10" ht="12.75">
      <c r="E21" s="137"/>
      <c r="F21" s="18" t="s">
        <v>309</v>
      </c>
      <c r="G21" s="18"/>
      <c r="H21" s="18"/>
      <c r="J21" t="s">
        <v>349</v>
      </c>
    </row>
    <row r="22" spans="5:10" ht="12.75">
      <c r="E22" s="5"/>
      <c r="F22" s="137" t="s">
        <v>310</v>
      </c>
      <c r="G22" s="137" t="s">
        <v>311</v>
      </c>
      <c r="H22" s="137" t="s">
        <v>315</v>
      </c>
      <c r="J22" s="143" t="s">
        <v>350</v>
      </c>
    </row>
    <row r="23" spans="1:10" ht="12.75">
      <c r="A23" t="s">
        <v>184</v>
      </c>
      <c r="C23" s="30">
        <f>G9</f>
        <v>140.9</v>
      </c>
      <c r="D23" s="68">
        <f>C9</f>
        <v>0.344</v>
      </c>
      <c r="E23" s="68">
        <f>'User Interface'!E18/100</f>
        <v>0.28</v>
      </c>
      <c r="F23" s="29">
        <f>I9*D23/E23</f>
        <v>173.10571428571427</v>
      </c>
      <c r="G23">
        <v>0</v>
      </c>
      <c r="H23" s="29">
        <f>SUM(F23:G23)</f>
        <v>173.10571428571427</v>
      </c>
      <c r="I23" s="29"/>
      <c r="J23" s="143" t="s">
        <v>351</v>
      </c>
    </row>
    <row r="24" spans="1:10" ht="12.75">
      <c r="A24" t="s">
        <v>2</v>
      </c>
      <c r="C24" s="30">
        <f>G10</f>
        <v>79.5</v>
      </c>
      <c r="D24" s="68">
        <f>C10</f>
        <v>0.87</v>
      </c>
      <c r="E24" s="68">
        <f>D24*(1-E23*M31/100)</f>
        <v>0.6264</v>
      </c>
      <c r="F24" s="29">
        <f>I10*D24/E24</f>
        <v>34.16666666666667</v>
      </c>
      <c r="G24" s="138">
        <f>(1+'User Interface'!H104/100)*F10*D24/E24</f>
        <v>82.35000000000001</v>
      </c>
      <c r="H24" s="29">
        <f>SUM(F24:G24)</f>
        <v>116.51666666666668</v>
      </c>
      <c r="J24" t="s">
        <v>366</v>
      </c>
    </row>
    <row r="25" spans="1:10" ht="12.75">
      <c r="A25" t="s">
        <v>75</v>
      </c>
      <c r="C25" s="30">
        <f>G11</f>
        <v>128.70000000000002</v>
      </c>
      <c r="D25" s="68">
        <f>C11</f>
        <v>0.3</v>
      </c>
      <c r="E25" s="68">
        <f>D25</f>
        <v>0.3</v>
      </c>
      <c r="F25" s="29">
        <f>I11*D25/E25</f>
        <v>45.80000000000001</v>
      </c>
      <c r="G25" s="138">
        <f>(1+'User Interface'!Q104/100)*F11</f>
        <v>106.94100000000002</v>
      </c>
      <c r="H25" s="29">
        <f>SUM(F25:G25)</f>
        <v>152.74100000000004</v>
      </c>
      <c r="J25" s="143" t="s">
        <v>365</v>
      </c>
    </row>
    <row r="26" spans="1:10" ht="12.75">
      <c r="A26" t="s">
        <v>4</v>
      </c>
      <c r="C26" s="30">
        <f>G12</f>
        <v>96.9</v>
      </c>
      <c r="D26" s="68">
        <f>C12</f>
        <v>0.85</v>
      </c>
      <c r="E26" s="68">
        <f>D26*(1-E23*M31/100)</f>
        <v>0.612</v>
      </c>
      <c r="F26" s="29">
        <f>I12*D26/E26</f>
        <v>101.38888888888889</v>
      </c>
      <c r="G26" s="138">
        <f>(1+(('User Interface'!H121+'User Interface'!Q122)/2)/100)*F12*D26/E26</f>
        <v>37.84166666666667</v>
      </c>
      <c r="H26" s="29">
        <f>SUM(F26:G26)</f>
        <v>139.23055555555555</v>
      </c>
      <c r="J26" s="143" t="s">
        <v>354</v>
      </c>
    </row>
    <row r="28" ht="12.75">
      <c r="A28" s="2" t="s">
        <v>302</v>
      </c>
    </row>
    <row r="29" spans="1:2" ht="12.75">
      <c r="A29" s="148" t="s">
        <v>301</v>
      </c>
      <c r="B29" t="s">
        <v>305</v>
      </c>
    </row>
    <row r="30" spans="1:2" ht="12.75">
      <c r="A30" s="55"/>
      <c r="B30" t="s">
        <v>303</v>
      </c>
    </row>
    <row r="31" spans="1:14" ht="12.75">
      <c r="A31" s="55"/>
      <c r="B31" t="s">
        <v>304</v>
      </c>
      <c r="M31">
        <v>100</v>
      </c>
      <c r="N31" t="s">
        <v>158</v>
      </c>
    </row>
    <row r="32" spans="1:13" ht="12.75">
      <c r="A32" s="148" t="s">
        <v>310</v>
      </c>
      <c r="B32" t="s">
        <v>324</v>
      </c>
      <c r="M32" s="18" t="s">
        <v>342</v>
      </c>
    </row>
    <row r="33" spans="1:2" ht="12.75">
      <c r="A33" s="148" t="s">
        <v>311</v>
      </c>
      <c r="B33" t="s">
        <v>325</v>
      </c>
    </row>
    <row r="34" spans="1:2" ht="12.75">
      <c r="A34" s="148" t="s">
        <v>315</v>
      </c>
      <c r="B34" t="s">
        <v>326</v>
      </c>
    </row>
    <row r="36" ht="12.75">
      <c r="A36" s="1" t="s">
        <v>294</v>
      </c>
    </row>
    <row r="37" spans="3:5" ht="12.75">
      <c r="C37" t="s">
        <v>0</v>
      </c>
      <c r="D37" t="s">
        <v>300</v>
      </c>
      <c r="E37" t="s">
        <v>296</v>
      </c>
    </row>
    <row r="38" spans="1:3" ht="12.75">
      <c r="A38" t="s">
        <v>184</v>
      </c>
      <c r="C38">
        <v>0</v>
      </c>
    </row>
    <row r="39" spans="1:6" ht="12.75">
      <c r="A39" t="s">
        <v>2</v>
      </c>
      <c r="C39" s="4">
        <f>Calculator!D139</f>
        <v>28032000</v>
      </c>
      <c r="D39" s="30">
        <f>G10</f>
        <v>79.5</v>
      </c>
      <c r="E39" s="4">
        <f>C39*D39/10^6</f>
        <v>2228.544</v>
      </c>
      <c r="F39" t="s">
        <v>316</v>
      </c>
    </row>
    <row r="40" spans="1:6" ht="12.75">
      <c r="A40" t="s">
        <v>75</v>
      </c>
      <c r="C40" s="4">
        <f>Calculator!D140</f>
        <v>0</v>
      </c>
      <c r="D40" s="30">
        <f>G11</f>
        <v>128.70000000000002</v>
      </c>
      <c r="E40" s="4">
        <f>C40*D40/10^6</f>
        <v>0</v>
      </c>
      <c r="F40" t="s">
        <v>316</v>
      </c>
    </row>
    <row r="41" spans="1:6" ht="12.75">
      <c r="A41" t="s">
        <v>4</v>
      </c>
      <c r="C41" s="4">
        <f>Calculator!D141</f>
        <v>0</v>
      </c>
      <c r="D41" s="30">
        <f>G12</f>
        <v>96.9</v>
      </c>
      <c r="E41" s="4">
        <f>C41*D41/10^6</f>
        <v>0</v>
      </c>
      <c r="F41" t="s">
        <v>316</v>
      </c>
    </row>
    <row r="42" spans="1:6" ht="12.75">
      <c r="A42" t="s">
        <v>8</v>
      </c>
      <c r="C42" s="4"/>
      <c r="D42" s="30"/>
      <c r="E42" s="4">
        <f>SUM(E39:E41)</f>
        <v>2228.544</v>
      </c>
      <c r="F42" t="s">
        <v>316</v>
      </c>
    </row>
    <row r="44" ht="12.75">
      <c r="A44" s="1" t="s">
        <v>313</v>
      </c>
    </row>
    <row r="45" spans="3:5" ht="12.75">
      <c r="C45" t="s">
        <v>0</v>
      </c>
      <c r="D45" t="s">
        <v>300</v>
      </c>
      <c r="E45" t="s">
        <v>296</v>
      </c>
    </row>
    <row r="46" spans="1:6" ht="12.75">
      <c r="A46" t="s">
        <v>184</v>
      </c>
      <c r="C46" s="4">
        <f>Calculator!D32</f>
        <v>7848960.000000001</v>
      </c>
      <c r="D46" s="29">
        <f>H23</f>
        <v>173.10571428571427</v>
      </c>
      <c r="E46" s="4">
        <f>C46*D46/10^6</f>
        <v>1358.6998272</v>
      </c>
      <c r="F46" t="s">
        <v>316</v>
      </c>
    </row>
    <row r="47" spans="1:6" ht="12.75">
      <c r="A47" t="s">
        <v>2</v>
      </c>
      <c r="C47" s="4">
        <f>Calculator!D42+Calculator!D47</f>
        <v>10876416</v>
      </c>
      <c r="D47" s="29">
        <f>H24</f>
        <v>116.51666666666668</v>
      </c>
      <c r="E47" s="4">
        <f>C47*D47/10^6</f>
        <v>1267.2837376000002</v>
      </c>
      <c r="F47" t="s">
        <v>316</v>
      </c>
    </row>
    <row r="48" spans="1:6" ht="12.75">
      <c r="A48" t="s">
        <v>75</v>
      </c>
      <c r="C48" s="4">
        <f>Calculator!D43+Calculator!D48</f>
        <v>9306624</v>
      </c>
      <c r="D48" s="29">
        <f>H25</f>
        <v>152.74100000000004</v>
      </c>
      <c r="E48" s="4">
        <f>C48*D48/10^6</f>
        <v>1421.5030563840003</v>
      </c>
      <c r="F48" t="s">
        <v>316</v>
      </c>
    </row>
    <row r="49" spans="1:6" ht="12.75">
      <c r="A49" t="s">
        <v>4</v>
      </c>
      <c r="C49" s="4">
        <f>Calculator!D44+Calculator!D49</f>
        <v>0</v>
      </c>
      <c r="D49" s="29">
        <f>H26</f>
        <v>139.23055555555555</v>
      </c>
      <c r="E49" s="4">
        <f>C49*D49/10^6</f>
        <v>0</v>
      </c>
      <c r="F49" t="s">
        <v>316</v>
      </c>
    </row>
    <row r="50" spans="1:6" ht="12.75">
      <c r="A50" t="s">
        <v>8</v>
      </c>
      <c r="C50" s="4">
        <f>SUM(C46:C49)</f>
        <v>28032000</v>
      </c>
      <c r="E50" s="4">
        <f>SUM(E46:E49)</f>
        <v>4047.486621184001</v>
      </c>
      <c r="F50" t="s">
        <v>316</v>
      </c>
    </row>
    <row r="52" spans="1:6" ht="12.75">
      <c r="A52" t="s">
        <v>317</v>
      </c>
      <c r="E52" s="4">
        <f>E50-E42</f>
        <v>1818.942621184001</v>
      </c>
      <c r="F52" t="s">
        <v>316</v>
      </c>
    </row>
    <row r="54" ht="12.75">
      <c r="A54" s="1" t="s">
        <v>318</v>
      </c>
    </row>
    <row r="56" spans="1:6" ht="12.75">
      <c r="A56" t="s">
        <v>322</v>
      </c>
      <c r="E56" s="71">
        <f>Calculator!D91-Calculator!D81</f>
        <v>0.3884562432000003</v>
      </c>
      <c r="F56" t="s">
        <v>164</v>
      </c>
    </row>
    <row r="57" spans="1:6" ht="12.75">
      <c r="A57" t="s">
        <v>321</v>
      </c>
      <c r="E57" s="4">
        <f>IF(E56&gt;0,E52/E56,0)</f>
        <v>4682.490378324288</v>
      </c>
      <c r="F57" t="s">
        <v>319</v>
      </c>
    </row>
    <row r="58" spans="1:6" ht="12.75">
      <c r="A58" t="s">
        <v>320</v>
      </c>
      <c r="E58" s="4">
        <f>IF(E56&lt;0,-E52/E56,0)</f>
        <v>0</v>
      </c>
      <c r="F58" t="s">
        <v>319</v>
      </c>
    </row>
  </sheetData>
  <sheetProtection/>
  <hyperlinks>
    <hyperlink ref="I3" r:id="rId1" display="http://www.eia.doe.gov/oiaf/aeo/electricity_generation.html"/>
  </hyperlinks>
  <printOptions/>
  <pageMargins left="0.75" right="0.75" top="1" bottom="1" header="0.5" footer="0.5"/>
  <pageSetup fitToHeight="1" fitToWidth="1" orientation="portrait" scale="68" r:id="rId4"/>
  <ignoredErrors>
    <ignoredError sqref="G9:G12" formulaRange="1"/>
    <ignoredError sqref="E20 F22:H22 A29 A32:A34" numberStoredAsText="1"/>
  </ignoredErrors>
  <legacyDrawing r:id="rId3"/>
</worksheet>
</file>

<file path=xl/worksheets/sheet5.xml><?xml version="1.0" encoding="utf-8"?>
<worksheet xmlns="http://schemas.openxmlformats.org/spreadsheetml/2006/main" xmlns:r="http://schemas.openxmlformats.org/officeDocument/2006/relationships">
  <dimension ref="A1:R55"/>
  <sheetViews>
    <sheetView zoomScalePageLayoutView="0" workbookViewId="0" topLeftCell="A19">
      <selection activeCell="Q23" sqref="Q23"/>
    </sheetView>
  </sheetViews>
  <sheetFormatPr defaultColWidth="9.140625" defaultRowHeight="12.75"/>
  <cols>
    <col min="9" max="9" width="10.57421875" style="0" customWidth="1"/>
    <col min="11" max="11" width="3.00390625" style="0" customWidth="1"/>
    <col min="13" max="13" width="11.00390625" style="0" customWidth="1"/>
    <col min="15" max="15" width="2.8515625" style="0" customWidth="1"/>
    <col min="17" max="17" width="10.57421875" style="0" customWidth="1"/>
  </cols>
  <sheetData>
    <row r="1" ht="12.75">
      <c r="A1" s="1" t="s">
        <v>167</v>
      </c>
    </row>
    <row r="2" ht="12.75">
      <c r="A2" s="1"/>
    </row>
    <row r="3" ht="12.75">
      <c r="A3" s="1" t="s">
        <v>187</v>
      </c>
    </row>
    <row r="4" spans="1:2" ht="12.75">
      <c r="A4" s="1"/>
      <c r="B4" t="s">
        <v>189</v>
      </c>
    </row>
    <row r="5" ht="12.75">
      <c r="A5" s="1"/>
    </row>
    <row r="6" ht="12.75">
      <c r="A6" s="1" t="s">
        <v>190</v>
      </c>
    </row>
    <row r="7" spans="1:10" ht="12.75">
      <c r="A7" s="1"/>
      <c r="B7" t="s">
        <v>191</v>
      </c>
      <c r="I7">
        <f>'User Interface'!E18</f>
        <v>28</v>
      </c>
      <c r="J7" t="s">
        <v>158</v>
      </c>
    </row>
    <row r="8" ht="12.75">
      <c r="A8" s="1"/>
    </row>
    <row r="9" spans="1:10" ht="12.75">
      <c r="A9" s="1" t="s">
        <v>182</v>
      </c>
      <c r="I9">
        <v>50</v>
      </c>
      <c r="J9" t="s">
        <v>158</v>
      </c>
    </row>
    <row r="10" ht="12.75">
      <c r="A10" s="1"/>
    </row>
    <row r="11" ht="12.75">
      <c r="A11" s="1"/>
    </row>
    <row r="12" ht="12.75">
      <c r="A12" s="1"/>
    </row>
    <row r="13" spans="1:7" ht="12.75">
      <c r="A13" s="1"/>
      <c r="C13" t="s">
        <v>162</v>
      </c>
      <c r="E13" t="s">
        <v>186</v>
      </c>
      <c r="G13" t="s">
        <v>183</v>
      </c>
    </row>
    <row r="14" spans="1:7" ht="12.75">
      <c r="A14" s="1"/>
      <c r="C14" t="s">
        <v>185</v>
      </c>
      <c r="E14" t="s">
        <v>185</v>
      </c>
      <c r="G14" t="s">
        <v>184</v>
      </c>
    </row>
    <row r="15" spans="1:8" ht="12.75">
      <c r="A15" s="1"/>
      <c r="B15" t="s">
        <v>2</v>
      </c>
      <c r="C15" s="57">
        <f>'User Interface'!C54</f>
        <v>70</v>
      </c>
      <c r="D15" t="s">
        <v>158</v>
      </c>
      <c r="E15" s="57">
        <f>'User Interface'!E54</f>
        <v>30</v>
      </c>
      <c r="F15" t="s">
        <v>158</v>
      </c>
      <c r="G15" s="57">
        <f>'User Interface'!G54</f>
        <v>100</v>
      </c>
      <c r="H15" t="s">
        <v>158</v>
      </c>
    </row>
    <row r="16" spans="1:8" ht="12.75">
      <c r="A16" s="1"/>
      <c r="B16" t="s">
        <v>75</v>
      </c>
      <c r="C16" s="57">
        <f>'User Interface'!C55</f>
        <v>30</v>
      </c>
      <c r="D16" t="s">
        <v>158</v>
      </c>
      <c r="E16" s="57">
        <f>'User Interface'!E55</f>
        <v>70</v>
      </c>
      <c r="F16" t="s">
        <v>158</v>
      </c>
      <c r="G16" s="57">
        <f>'User Interface'!G55</f>
        <v>0</v>
      </c>
      <c r="H16" t="s">
        <v>158</v>
      </c>
    </row>
    <row r="17" spans="1:8" ht="12.75">
      <c r="A17" s="1"/>
      <c r="B17" t="s">
        <v>4</v>
      </c>
      <c r="C17" s="57">
        <f>'User Interface'!C56</f>
        <v>0</v>
      </c>
      <c r="D17" t="s">
        <v>158</v>
      </c>
      <c r="E17" s="57">
        <f>'User Interface'!E56</f>
        <v>0</v>
      </c>
      <c r="F17" t="s">
        <v>158</v>
      </c>
      <c r="G17" s="57">
        <f>'User Interface'!G56</f>
        <v>0</v>
      </c>
      <c r="H17" t="s">
        <v>158</v>
      </c>
    </row>
    <row r="18" spans="1:8" ht="12.75">
      <c r="A18" s="1"/>
      <c r="B18" t="s">
        <v>8</v>
      </c>
      <c r="C18" s="57">
        <f>'User Interface'!C57</f>
        <v>100</v>
      </c>
      <c r="D18" t="s">
        <v>158</v>
      </c>
      <c r="E18" s="57">
        <f>'User Interface'!E57</f>
        <v>100</v>
      </c>
      <c r="F18" t="s">
        <v>158</v>
      </c>
      <c r="G18" s="57">
        <f>'User Interface'!G57</f>
        <v>100</v>
      </c>
      <c r="H18" t="s">
        <v>158</v>
      </c>
    </row>
    <row r="19" ht="12.75">
      <c r="A19" s="1"/>
    </row>
    <row r="20" ht="12.75">
      <c r="A20" s="1" t="s">
        <v>188</v>
      </c>
    </row>
    <row r="21" ht="12.75">
      <c r="A21" s="1"/>
    </row>
    <row r="22" spans="8:18" ht="12.75">
      <c r="H22" s="146" t="s">
        <v>2</v>
      </c>
      <c r="I22" s="145"/>
      <c r="J22" s="147"/>
      <c r="L22" s="146" t="s">
        <v>75</v>
      </c>
      <c r="M22" s="145"/>
      <c r="N22" s="147"/>
      <c r="P22" s="146" t="s">
        <v>4</v>
      </c>
      <c r="Q22" s="145"/>
      <c r="R22" s="147"/>
    </row>
    <row r="23" spans="3:18" ht="12.75">
      <c r="C23" t="s">
        <v>79</v>
      </c>
      <c r="D23" t="s">
        <v>168</v>
      </c>
      <c r="E23" t="s">
        <v>172</v>
      </c>
      <c r="F23" t="s">
        <v>174</v>
      </c>
      <c r="H23" s="140" t="s">
        <v>173</v>
      </c>
      <c r="I23" s="140" t="s">
        <v>370</v>
      </c>
      <c r="J23" s="18" t="s">
        <v>344</v>
      </c>
      <c r="K23" s="18"/>
      <c r="L23" s="140" t="s">
        <v>173</v>
      </c>
      <c r="M23" s="140" t="s">
        <v>370</v>
      </c>
      <c r="N23" s="18" t="s">
        <v>344</v>
      </c>
      <c r="O23" s="18"/>
      <c r="P23" s="140" t="s">
        <v>173</v>
      </c>
      <c r="Q23" s="140" t="s">
        <v>370</v>
      </c>
      <c r="R23" s="144" t="s">
        <v>344</v>
      </c>
    </row>
    <row r="24" spans="3:18" ht="12.75">
      <c r="C24" s="18" t="s">
        <v>80</v>
      </c>
      <c r="D24" s="18" t="s">
        <v>80</v>
      </c>
      <c r="E24" s="18"/>
      <c r="F24" s="18" t="s">
        <v>78</v>
      </c>
      <c r="H24" s="140" t="s">
        <v>158</v>
      </c>
      <c r="I24" s="140" t="s">
        <v>158</v>
      </c>
      <c r="J24" s="18" t="s">
        <v>229</v>
      </c>
      <c r="L24" s="140" t="s">
        <v>158</v>
      </c>
      <c r="M24" s="140" t="s">
        <v>158</v>
      </c>
      <c r="N24" s="18" t="s">
        <v>229</v>
      </c>
      <c r="P24" s="140" t="s">
        <v>158</v>
      </c>
      <c r="Q24" s="140" t="s">
        <v>158</v>
      </c>
      <c r="R24" s="18" t="s">
        <v>229</v>
      </c>
    </row>
    <row r="25" spans="3:18" ht="12.75">
      <c r="C25" s="18" t="s">
        <v>158</v>
      </c>
      <c r="D25" s="18" t="s">
        <v>158</v>
      </c>
      <c r="E25" s="18" t="s">
        <v>158</v>
      </c>
      <c r="F25" s="18" t="s">
        <v>158</v>
      </c>
      <c r="H25" s="76">
        <v>0</v>
      </c>
      <c r="I25" s="76">
        <v>0</v>
      </c>
      <c r="J25" s="4">
        <f>'Adjusted Heat Rates'!$E21*(1+'Interface Values'!I25/100)</f>
        <v>6177.050000000001</v>
      </c>
      <c r="L25" s="76">
        <v>0</v>
      </c>
      <c r="M25" s="76">
        <v>0</v>
      </c>
      <c r="N25" s="4">
        <f>'Adjusted Heat Rates'!E33</f>
        <v>8984.800000000001</v>
      </c>
      <c r="P25" s="76">
        <v>0</v>
      </c>
      <c r="Q25" s="76">
        <v>0</v>
      </c>
      <c r="R25" s="4">
        <f>'Adjusted Heat Rates'!E46</f>
        <v>7691.200000000001</v>
      </c>
    </row>
    <row r="26" spans="1:18" ht="12.75">
      <c r="A26" t="s">
        <v>2</v>
      </c>
      <c r="C26" s="29">
        <v>20</v>
      </c>
      <c r="D26">
        <v>50</v>
      </c>
      <c r="E26">
        <f>C26*D26/100</f>
        <v>10</v>
      </c>
      <c r="F26" s="9">
        <f>HLOOKUP(I25,I25:J85,E26+1)</f>
        <v>8</v>
      </c>
      <c r="H26" s="76">
        <v>1</v>
      </c>
      <c r="I26" s="76">
        <f aca="true" t="shared" si="0" ref="I26:I34">I$35*H26/H$35</f>
        <v>0.8</v>
      </c>
      <c r="J26" s="4">
        <f>J$25*(1+'Interface Values'!H26/100)</f>
        <v>6238.820500000001</v>
      </c>
      <c r="L26" s="76">
        <v>1</v>
      </c>
      <c r="M26" s="76">
        <f aca="true" t="shared" si="1" ref="M26:M34">M$35*L26/L$35</f>
        <v>1.3</v>
      </c>
      <c r="N26" s="4">
        <f>N$25*(1+'Interface Values'!L26/100)</f>
        <v>9074.648000000001</v>
      </c>
      <c r="P26" s="76">
        <v>1</v>
      </c>
      <c r="Q26" s="76">
        <f aca="true" t="shared" si="2" ref="Q26:Q34">Q$35*P26/P$35</f>
        <v>1.4</v>
      </c>
      <c r="R26" s="4">
        <f>R$25*(1+'Interface Values'!P26/100)</f>
        <v>7768.112000000001</v>
      </c>
    </row>
    <row r="27" spans="6:18" ht="12.75">
      <c r="F27" s="9"/>
      <c r="H27" s="76">
        <v>2</v>
      </c>
      <c r="I27" s="76">
        <f t="shared" si="0"/>
        <v>1.6</v>
      </c>
      <c r="J27" s="4">
        <f>J$25*(1+'Interface Values'!H27/100)</f>
        <v>6300.591000000001</v>
      </c>
      <c r="L27" s="76">
        <v>2</v>
      </c>
      <c r="M27" s="76">
        <f t="shared" si="1"/>
        <v>2.6</v>
      </c>
      <c r="N27" s="4">
        <f>N$25*(1+'Interface Values'!L27/100)</f>
        <v>9164.496000000001</v>
      </c>
      <c r="P27" s="76">
        <v>2</v>
      </c>
      <c r="Q27" s="76">
        <f t="shared" si="2"/>
        <v>2.8</v>
      </c>
      <c r="R27" s="4">
        <f>R$25*(1+'Interface Values'!P27/100)</f>
        <v>7845.024000000001</v>
      </c>
    </row>
    <row r="28" spans="1:18" ht="12.75">
      <c r="A28" t="s">
        <v>75</v>
      </c>
      <c r="C28">
        <v>20</v>
      </c>
      <c r="D28">
        <v>100</v>
      </c>
      <c r="E28">
        <f>C28*D28/100</f>
        <v>20</v>
      </c>
      <c r="F28" s="9">
        <f>HLOOKUP(M25,L25:M55,E28+1)</f>
        <v>29</v>
      </c>
      <c r="H28" s="76">
        <v>3</v>
      </c>
      <c r="I28" s="76">
        <f t="shared" si="0"/>
        <v>2.4</v>
      </c>
      <c r="J28" s="4">
        <f>J$25*(1+'Interface Values'!H28/100)</f>
        <v>6362.361500000001</v>
      </c>
      <c r="L28" s="76">
        <v>3</v>
      </c>
      <c r="M28" s="76">
        <f t="shared" si="1"/>
        <v>3.9</v>
      </c>
      <c r="N28" s="4">
        <f>N$25*(1+'Interface Values'!L28/100)</f>
        <v>9254.344000000001</v>
      </c>
      <c r="P28" s="76">
        <v>3</v>
      </c>
      <c r="Q28" s="76">
        <f t="shared" si="2"/>
        <v>4.2</v>
      </c>
      <c r="R28" s="4">
        <f>R$25*(1+'Interface Values'!P28/100)</f>
        <v>7921.936000000001</v>
      </c>
    </row>
    <row r="29" spans="6:18" ht="12.75">
      <c r="F29" s="9"/>
      <c r="H29" s="76">
        <v>4</v>
      </c>
      <c r="I29" s="76">
        <f t="shared" si="0"/>
        <v>3.2</v>
      </c>
      <c r="J29" s="4">
        <f>J$25*(1+'Interface Values'!H29/100)</f>
        <v>6424.132000000001</v>
      </c>
      <c r="L29" s="76">
        <v>4</v>
      </c>
      <c r="M29" s="76">
        <f t="shared" si="1"/>
        <v>5.2</v>
      </c>
      <c r="N29" s="4">
        <f>N$25*(1+'Interface Values'!L29/100)</f>
        <v>9344.192000000001</v>
      </c>
      <c r="P29" s="76">
        <v>4</v>
      </c>
      <c r="Q29" s="76">
        <f t="shared" si="2"/>
        <v>5.6</v>
      </c>
      <c r="R29" s="4">
        <f>R$25*(1+'Interface Values'!P29/100)</f>
        <v>7998.848000000001</v>
      </c>
    </row>
    <row r="30" spans="1:18" ht="12.75">
      <c r="A30" t="s">
        <v>4</v>
      </c>
      <c r="F30" s="9"/>
      <c r="H30" s="76">
        <v>5</v>
      </c>
      <c r="I30" s="76">
        <f t="shared" si="0"/>
        <v>4</v>
      </c>
      <c r="J30" s="4">
        <f>J$25*(1+'Interface Values'!H30/100)</f>
        <v>6485.902500000001</v>
      </c>
      <c r="L30" s="76">
        <v>5</v>
      </c>
      <c r="M30" s="76">
        <f t="shared" si="1"/>
        <v>6.5</v>
      </c>
      <c r="N30" s="4">
        <f>N$25*(1+'Interface Values'!L30/100)</f>
        <v>9434.04</v>
      </c>
      <c r="P30" s="76">
        <v>5</v>
      </c>
      <c r="Q30" s="76">
        <f t="shared" si="2"/>
        <v>7</v>
      </c>
      <c r="R30" s="4">
        <f>R$25*(1+'Interface Values'!P30/100)</f>
        <v>8075.760000000001</v>
      </c>
    </row>
    <row r="31" spans="1:18" ht="12.75">
      <c r="A31" t="s">
        <v>162</v>
      </c>
      <c r="C31">
        <v>20</v>
      </c>
      <c r="D31">
        <v>100</v>
      </c>
      <c r="E31">
        <f>C31*D31/100</f>
        <v>20</v>
      </c>
      <c r="F31">
        <f>HLOOKUP(P25,P25:Q55,E31+1)</f>
        <v>28</v>
      </c>
      <c r="H31" s="76">
        <v>6</v>
      </c>
      <c r="I31" s="76">
        <f t="shared" si="0"/>
        <v>4.8</v>
      </c>
      <c r="J31" s="4">
        <f>J$25*(1+'Interface Values'!H31/100)</f>
        <v>6547.673000000002</v>
      </c>
      <c r="L31" s="76">
        <v>6</v>
      </c>
      <c r="M31" s="76">
        <f t="shared" si="1"/>
        <v>7.8</v>
      </c>
      <c r="N31" s="4">
        <f>N$25*(1+'Interface Values'!L31/100)</f>
        <v>9523.888</v>
      </c>
      <c r="P31" s="76">
        <v>6</v>
      </c>
      <c r="Q31" s="76">
        <f t="shared" si="2"/>
        <v>8.4</v>
      </c>
      <c r="R31" s="4">
        <f>R$25*(1+'Interface Values'!P31/100)</f>
        <v>8152.672000000001</v>
      </c>
    </row>
    <row r="32" spans="1:18" ht="12.75">
      <c r="A32" t="s">
        <v>186</v>
      </c>
      <c r="C32">
        <v>23</v>
      </c>
      <c r="D32">
        <v>100</v>
      </c>
      <c r="E32">
        <f>C32*D32/100</f>
        <v>23</v>
      </c>
      <c r="F32">
        <f>HLOOKUP(P25,P25:Q55,E32+1)</f>
        <v>32.199999999999996</v>
      </c>
      <c r="H32" s="76">
        <v>7</v>
      </c>
      <c r="I32" s="76">
        <f t="shared" si="0"/>
        <v>5.6</v>
      </c>
      <c r="J32" s="4">
        <f>J$25*(1+'Interface Values'!H32/100)</f>
        <v>6609.443500000001</v>
      </c>
      <c r="L32" s="76">
        <v>7</v>
      </c>
      <c r="M32" s="76">
        <f t="shared" si="1"/>
        <v>9.1</v>
      </c>
      <c r="N32" s="4">
        <f>N$25*(1+'Interface Values'!L32/100)</f>
        <v>9613.736000000003</v>
      </c>
      <c r="P32" s="76">
        <v>7</v>
      </c>
      <c r="Q32" s="76">
        <f t="shared" si="2"/>
        <v>9.8</v>
      </c>
      <c r="R32" s="4">
        <f>R$25*(1+'Interface Values'!P32/100)</f>
        <v>8229.584</v>
      </c>
    </row>
    <row r="33" spans="8:18" ht="12.75">
      <c r="H33" s="76">
        <v>8</v>
      </c>
      <c r="I33" s="76">
        <f t="shared" si="0"/>
        <v>6.4</v>
      </c>
      <c r="J33" s="4">
        <f>J$25*(1+'Interface Values'!H33/100)</f>
        <v>6671.214000000002</v>
      </c>
      <c r="L33" s="76">
        <v>8</v>
      </c>
      <c r="M33" s="76">
        <f t="shared" si="1"/>
        <v>10.4</v>
      </c>
      <c r="N33" s="4">
        <f>N$25*(1+'Interface Values'!L33/100)</f>
        <v>9703.584000000003</v>
      </c>
      <c r="P33" s="76">
        <v>8</v>
      </c>
      <c r="Q33" s="76">
        <f t="shared" si="2"/>
        <v>11.2</v>
      </c>
      <c r="R33" s="4">
        <f>R$25*(1+'Interface Values'!P33/100)</f>
        <v>8306.496000000001</v>
      </c>
    </row>
    <row r="34" spans="8:18" ht="12.75">
      <c r="H34" s="76">
        <v>9</v>
      </c>
      <c r="I34" s="76">
        <f t="shared" si="0"/>
        <v>7.2</v>
      </c>
      <c r="J34" s="4">
        <f>J$25*(1+'Interface Values'!H34/100)</f>
        <v>6732.984500000001</v>
      </c>
      <c r="L34" s="76">
        <v>9</v>
      </c>
      <c r="M34" s="76">
        <f t="shared" si="1"/>
        <v>11.7</v>
      </c>
      <c r="N34" s="4">
        <f>N$25*(1+'Interface Values'!L34/100)</f>
        <v>9793.432000000003</v>
      </c>
      <c r="P34" s="76">
        <v>9</v>
      </c>
      <c r="Q34" s="76">
        <f t="shared" si="2"/>
        <v>12.6</v>
      </c>
      <c r="R34" s="4">
        <f>R$25*(1+'Interface Values'!P34/100)</f>
        <v>8383.408000000001</v>
      </c>
    </row>
    <row r="35" spans="8:18" ht="12.75">
      <c r="H35" s="76">
        <v>10</v>
      </c>
      <c r="I35" s="76">
        <v>8</v>
      </c>
      <c r="J35" s="4">
        <f>J$25*(1+'Interface Values'!H35/100)</f>
        <v>6794.755000000002</v>
      </c>
      <c r="L35" s="76">
        <v>10</v>
      </c>
      <c r="M35" s="76">
        <v>13</v>
      </c>
      <c r="N35" s="4">
        <f>N$25*(1+'Interface Values'!L35/100)</f>
        <v>9883.280000000002</v>
      </c>
      <c r="P35" s="76">
        <v>10</v>
      </c>
      <c r="Q35" s="76">
        <v>14</v>
      </c>
      <c r="R35" s="4">
        <f>R$25*(1+'Interface Values'!P35/100)</f>
        <v>8460.320000000002</v>
      </c>
    </row>
    <row r="36" spans="8:18" ht="12.75">
      <c r="H36" s="76">
        <v>11</v>
      </c>
      <c r="I36" s="76">
        <f>I35+(I$40-I$35)/(H$40-H$35)</f>
        <v>9.4</v>
      </c>
      <c r="J36" s="4">
        <f>J$25*(1+'Interface Values'!H36/100)</f>
        <v>6856.525500000002</v>
      </c>
      <c r="L36" s="76">
        <v>11</v>
      </c>
      <c r="M36" s="76">
        <f>M35+(M$40-M$35)/(L$40-L$35)</f>
        <v>14.4</v>
      </c>
      <c r="N36" s="4">
        <f>N$25*(1+'Interface Values'!L36/100)</f>
        <v>9973.128000000002</v>
      </c>
      <c r="P36" s="76">
        <v>11</v>
      </c>
      <c r="Q36" s="76">
        <f>Q35+(Q$40-Q$35)/(P$40-P$35)</f>
        <v>15.4</v>
      </c>
      <c r="R36" s="4">
        <f>R$25*(1+'Interface Values'!P36/100)</f>
        <v>8537.232000000002</v>
      </c>
    </row>
    <row r="37" spans="8:18" ht="12.75">
      <c r="H37" s="76">
        <v>12</v>
      </c>
      <c r="I37" s="76">
        <f>I36+(I$40-I$35)/(H$40-H$35)</f>
        <v>10.8</v>
      </c>
      <c r="J37" s="4">
        <f>J$25*(1+'Interface Values'!H37/100)</f>
        <v>6918.296000000002</v>
      </c>
      <c r="L37" s="76">
        <v>12</v>
      </c>
      <c r="M37" s="76">
        <f>M36+(M$40-M$35)/(L$40-L$35)</f>
        <v>15.8</v>
      </c>
      <c r="N37" s="4">
        <f>N$25*(1+'Interface Values'!L37/100)</f>
        <v>10062.976000000002</v>
      </c>
      <c r="P37" s="76">
        <v>12</v>
      </c>
      <c r="Q37" s="76">
        <f>Q36+(Q$40-Q$35)/(P$40-P$35)</f>
        <v>16.8</v>
      </c>
      <c r="R37" s="4">
        <f>R$25*(1+'Interface Values'!P37/100)</f>
        <v>8614.144000000002</v>
      </c>
    </row>
    <row r="38" spans="8:18" ht="12.75">
      <c r="H38" s="76">
        <v>13</v>
      </c>
      <c r="I38" s="76">
        <f>I37+(I$40-I$35)/(H$40-H$35)</f>
        <v>12.200000000000001</v>
      </c>
      <c r="J38" s="4">
        <f>J$25*(1+'Interface Values'!H38/100)</f>
        <v>6980.066500000001</v>
      </c>
      <c r="L38" s="76">
        <v>13</v>
      </c>
      <c r="M38" s="76">
        <f>M37+(M$40-M$35)/(L$40-L$35)</f>
        <v>17.2</v>
      </c>
      <c r="N38" s="4">
        <f>N$25*(1+'Interface Values'!L38/100)</f>
        <v>10152.824</v>
      </c>
      <c r="P38" s="76">
        <v>13</v>
      </c>
      <c r="Q38" s="76">
        <f>Q37+(Q$40-Q$35)/(P$40-P$35)</f>
        <v>18.2</v>
      </c>
      <c r="R38" s="4">
        <f>R$25*(1+'Interface Values'!P38/100)</f>
        <v>8691.056</v>
      </c>
    </row>
    <row r="39" spans="8:18" ht="12.75">
      <c r="H39" s="76">
        <v>14</v>
      </c>
      <c r="I39" s="76">
        <f>I38+(I$40-I$35)/(H$40-H$35)</f>
        <v>13.600000000000001</v>
      </c>
      <c r="J39" s="4">
        <f>J$25*(1+'Interface Values'!H39/100)</f>
        <v>7041.837000000002</v>
      </c>
      <c r="L39" s="76">
        <v>14</v>
      </c>
      <c r="M39" s="76">
        <f>M38+(M$40-M$35)/(L$40-L$35)</f>
        <v>18.599999999999998</v>
      </c>
      <c r="N39" s="4">
        <f>N$25*(1+'Interface Values'!L39/100)</f>
        <v>10242.672000000002</v>
      </c>
      <c r="P39" s="76">
        <v>14</v>
      </c>
      <c r="Q39" s="76">
        <f>Q38+(Q$40-Q$35)/(P$40-P$35)</f>
        <v>19.599999999999998</v>
      </c>
      <c r="R39" s="4">
        <f>R$25*(1+'Interface Values'!P39/100)</f>
        <v>8767.968000000003</v>
      </c>
    </row>
    <row r="40" spans="8:18" ht="12.75">
      <c r="H40" s="76">
        <v>15</v>
      </c>
      <c r="I40" s="76">
        <v>15</v>
      </c>
      <c r="J40" s="4">
        <f>J$25*(1+'Interface Values'!H40/100)</f>
        <v>7103.607500000001</v>
      </c>
      <c r="L40" s="76">
        <v>15</v>
      </c>
      <c r="M40" s="76">
        <v>20</v>
      </c>
      <c r="N40" s="4">
        <f>N$25*(1+'Interface Values'!L40/100)</f>
        <v>10332.52</v>
      </c>
      <c r="P40" s="76">
        <v>15</v>
      </c>
      <c r="Q40" s="76">
        <v>21</v>
      </c>
      <c r="R40" s="4">
        <f>R$25*(1+'Interface Values'!P40/100)</f>
        <v>8844.880000000001</v>
      </c>
    </row>
    <row r="41" spans="8:18" ht="12.75">
      <c r="H41" s="76">
        <v>16</v>
      </c>
      <c r="I41" s="76">
        <f>I40+(I$45-I$40)/(H$45-H$40)</f>
        <v>16.2</v>
      </c>
      <c r="J41" s="4">
        <f>J$25*(1+'Interface Values'!H41/100)</f>
        <v>7165.378000000001</v>
      </c>
      <c r="L41" s="76">
        <v>16</v>
      </c>
      <c r="M41" s="76">
        <f>M40+(M$40-M$35)/(L$40-L$35)</f>
        <v>21.4</v>
      </c>
      <c r="N41" s="4">
        <f>N$25*(1+'Interface Values'!L41/100)</f>
        <v>10422.368</v>
      </c>
      <c r="P41" s="76">
        <v>16</v>
      </c>
      <c r="Q41" s="76">
        <f>Q40+(Q$40-Q$35)/(P$40-P$35)</f>
        <v>22.4</v>
      </c>
      <c r="R41" s="4">
        <f>R$25*(1+'Interface Values'!P41/100)</f>
        <v>8921.792</v>
      </c>
    </row>
    <row r="42" spans="8:18" ht="12.75">
      <c r="H42" s="76">
        <v>17</v>
      </c>
      <c r="I42" s="76">
        <f>I41+(I$45-I$40)/(H$45-H$40)</f>
        <v>17.4</v>
      </c>
      <c r="J42" s="4">
        <f>J$25*(1+'Interface Values'!H42/100)</f>
        <v>7227.148500000001</v>
      </c>
      <c r="L42" s="76">
        <v>17</v>
      </c>
      <c r="M42" s="76">
        <f>M41+(M$40-M$35)/(L$40-L$35)</f>
        <v>22.799999999999997</v>
      </c>
      <c r="N42" s="4">
        <f>N$25*(1+'Interface Values'!L42/100)</f>
        <v>10512.216</v>
      </c>
      <c r="P42" s="76">
        <v>17</v>
      </c>
      <c r="Q42" s="76">
        <f>Q41+(Q$40-Q$35)/(P$40-P$35)</f>
        <v>23.799999999999997</v>
      </c>
      <c r="R42" s="4">
        <f>R$25*(1+'Interface Values'!P42/100)</f>
        <v>8998.704</v>
      </c>
    </row>
    <row r="43" spans="8:18" ht="12.75">
      <c r="H43" s="76">
        <v>18</v>
      </c>
      <c r="I43" s="76">
        <f>I42+(I$45-I$40)/(H$45-H$40)</f>
        <v>18.599999999999998</v>
      </c>
      <c r="J43" s="4">
        <f>J$25*(1+'Interface Values'!H43/100)</f>
        <v>7288.919000000001</v>
      </c>
      <c r="L43" s="76">
        <v>18</v>
      </c>
      <c r="M43" s="76">
        <f>M42+(M$40-M$35)/(L$40-L$35)</f>
        <v>24.199999999999996</v>
      </c>
      <c r="N43" s="4">
        <f>N$25*(1+'Interface Values'!L43/100)</f>
        <v>10602.064</v>
      </c>
      <c r="P43" s="76">
        <v>18</v>
      </c>
      <c r="Q43" s="76">
        <f>Q42+(Q$40-Q$35)/(P$40-P$35)</f>
        <v>25.199999999999996</v>
      </c>
      <c r="R43" s="4">
        <f>R$25*(1+'Interface Values'!P43/100)</f>
        <v>9075.616</v>
      </c>
    </row>
    <row r="44" spans="8:18" ht="12.75">
      <c r="H44" s="76">
        <v>19</v>
      </c>
      <c r="I44" s="76">
        <f>I43+(I$45-I$40)/(H$45-H$40)</f>
        <v>19.799999999999997</v>
      </c>
      <c r="J44" s="4">
        <f>J$25*(1+'Interface Values'!H44/100)</f>
        <v>7350.689500000001</v>
      </c>
      <c r="L44" s="76">
        <v>19</v>
      </c>
      <c r="M44" s="76">
        <f>M43+(M$40-M$35)/(L$40-L$35)</f>
        <v>25.599999999999994</v>
      </c>
      <c r="N44" s="4">
        <f>N$25*(1+'Interface Values'!L44/100)</f>
        <v>10691.912</v>
      </c>
      <c r="P44" s="76">
        <v>19</v>
      </c>
      <c r="Q44" s="76">
        <f>Q43+(Q$40-Q$35)/(P$40-P$35)</f>
        <v>26.599999999999994</v>
      </c>
      <c r="R44" s="4">
        <f>R$25*(1+'Interface Values'!P44/100)</f>
        <v>9152.528</v>
      </c>
    </row>
    <row r="45" spans="8:18" ht="12.75">
      <c r="H45" s="76">
        <v>20</v>
      </c>
      <c r="I45" s="76">
        <v>21</v>
      </c>
      <c r="J45" s="4">
        <f>J$25*(1+'Interface Values'!H45/100)</f>
        <v>7412.460000000001</v>
      </c>
      <c r="L45" s="76">
        <v>20</v>
      </c>
      <c r="M45" s="76">
        <v>29</v>
      </c>
      <c r="N45" s="4">
        <f>N$25*(1+'Interface Values'!L45/100)</f>
        <v>10781.76</v>
      </c>
      <c r="P45" s="76">
        <v>20</v>
      </c>
      <c r="Q45" s="76">
        <v>28</v>
      </c>
      <c r="R45" s="4">
        <f>R$25*(1+'Interface Values'!P45/100)</f>
        <v>9229.44</v>
      </c>
    </row>
    <row r="46" spans="8:18" ht="12.75">
      <c r="H46" s="76">
        <v>21</v>
      </c>
      <c r="I46" s="76">
        <f>I45+(I$50-I$45)/(H$50-H$45)</f>
        <v>22.6</v>
      </c>
      <c r="J46" s="4">
        <f>J$25*(1+'Interface Values'!H46/100)</f>
        <v>7474.2305000000015</v>
      </c>
      <c r="L46" s="76">
        <v>21</v>
      </c>
      <c r="M46" s="76">
        <f>M45+(M$40-M$35)/(L$40-L$35)</f>
        <v>30.4</v>
      </c>
      <c r="N46" s="4">
        <f>N$25*(1+'Interface Values'!L46/100)</f>
        <v>10871.608</v>
      </c>
      <c r="P46" s="76">
        <v>21</v>
      </c>
      <c r="Q46" s="76">
        <f>Q45+(Q$40-Q$35)/(P$40-P$35)</f>
        <v>29.4</v>
      </c>
      <c r="R46" s="4">
        <f>R$25*(1+'Interface Values'!P46/100)</f>
        <v>9306.352</v>
      </c>
    </row>
    <row r="47" spans="8:18" ht="12.75">
      <c r="H47" s="76">
        <v>22</v>
      </c>
      <c r="I47" s="76">
        <f>I46+(I$50-I$45)/(H$50-H$45)</f>
        <v>24.200000000000003</v>
      </c>
      <c r="J47" s="4">
        <f>J$25*(1+'Interface Values'!H47/100)</f>
        <v>7536.001000000001</v>
      </c>
      <c r="L47" s="76">
        <v>22</v>
      </c>
      <c r="M47" s="76">
        <f>M46+(M$40-M$35)/(L$40-L$35)</f>
        <v>31.799999999999997</v>
      </c>
      <c r="N47" s="4">
        <f>N$25*(1+'Interface Values'!L47/100)</f>
        <v>10961.456000000002</v>
      </c>
      <c r="P47" s="76">
        <v>22</v>
      </c>
      <c r="Q47" s="76">
        <f>Q46+(Q$40-Q$35)/(P$40-P$35)</f>
        <v>30.799999999999997</v>
      </c>
      <c r="R47" s="4">
        <f>R$25*(1+'Interface Values'!P47/100)</f>
        <v>9383.264000000001</v>
      </c>
    </row>
    <row r="48" spans="8:18" ht="12.75">
      <c r="H48" s="76">
        <v>23</v>
      </c>
      <c r="I48" s="76">
        <f>I47+(I$50-I$45)/(H$50-H$45)</f>
        <v>25.800000000000004</v>
      </c>
      <c r="J48" s="4">
        <f>J$25*(1+'Interface Values'!H48/100)</f>
        <v>7597.771500000002</v>
      </c>
      <c r="L48" s="76">
        <v>23</v>
      </c>
      <c r="M48" s="76">
        <f>M47+(M$40-M$35)/(L$40-L$35)</f>
        <v>33.199999999999996</v>
      </c>
      <c r="N48" s="4">
        <f>N$25*(1+'Interface Values'!L48/100)</f>
        <v>11051.304000000002</v>
      </c>
      <c r="P48" s="76">
        <v>23</v>
      </c>
      <c r="Q48" s="76">
        <f>Q47+(Q$40-Q$35)/(P$40-P$35)</f>
        <v>32.199999999999996</v>
      </c>
      <c r="R48" s="4">
        <f>R$25*(1+'Interface Values'!P48/100)</f>
        <v>9460.176000000001</v>
      </c>
    </row>
    <row r="49" spans="8:18" ht="12.75">
      <c r="H49" s="76">
        <v>24</v>
      </c>
      <c r="I49" s="76">
        <f>I48+(I$50-I$45)/(H$50-H$45)</f>
        <v>27.400000000000006</v>
      </c>
      <c r="J49" s="4">
        <f>J$25*(1+'Interface Values'!H49/100)</f>
        <v>7659.542000000001</v>
      </c>
      <c r="L49" s="76">
        <v>24</v>
      </c>
      <c r="M49" s="76">
        <f>M48+(M$40-M$35)/(L$40-L$35)</f>
        <v>34.599999999999994</v>
      </c>
      <c r="N49" s="4">
        <f>N$25*(1+'Interface Values'!L49/100)</f>
        <v>11141.152000000002</v>
      </c>
      <c r="P49" s="76">
        <v>24</v>
      </c>
      <c r="Q49" s="76">
        <f>Q48+(Q$40-Q$35)/(P$40-P$35)</f>
        <v>33.599999999999994</v>
      </c>
      <c r="R49" s="4">
        <f>R$25*(1+'Interface Values'!P49/100)</f>
        <v>9537.088000000002</v>
      </c>
    </row>
    <row r="50" spans="8:18" ht="12.75">
      <c r="H50" s="76">
        <v>25</v>
      </c>
      <c r="I50" s="76">
        <v>29</v>
      </c>
      <c r="J50" s="4">
        <f>J$25*(1+'Interface Values'!H50/100)</f>
        <v>7721.312500000002</v>
      </c>
      <c r="L50" s="76">
        <v>25</v>
      </c>
      <c r="M50" s="76">
        <v>42</v>
      </c>
      <c r="N50" s="4">
        <f>N$25*(1+'Interface Values'!L50/100)</f>
        <v>11231.000000000002</v>
      </c>
      <c r="P50" s="76">
        <v>25</v>
      </c>
      <c r="Q50" s="76">
        <v>36</v>
      </c>
      <c r="R50" s="4">
        <f>R$25*(1+'Interface Values'!P50/100)</f>
        <v>9614</v>
      </c>
    </row>
    <row r="51" spans="8:18" ht="12.75">
      <c r="H51" s="76">
        <v>26</v>
      </c>
      <c r="I51" s="76">
        <f>I50+(I$55-I$50)/(H$55-H$50)</f>
        <v>30.4</v>
      </c>
      <c r="J51" s="4">
        <f>J$25*(1+'Interface Values'!H51/100)</f>
        <v>7783.083000000001</v>
      </c>
      <c r="L51" s="76">
        <v>26</v>
      </c>
      <c r="M51" s="76">
        <f>M50+(M$40-M$35)/(L$40-L$35)</f>
        <v>43.4</v>
      </c>
      <c r="N51" s="4">
        <f>N$25*(1+'Interface Values'!L51/100)</f>
        <v>11320.848000000002</v>
      </c>
      <c r="P51" s="76">
        <v>26</v>
      </c>
      <c r="Q51" s="76">
        <f>Q50+(Q$40-Q$35)/(P$40-P$35)</f>
        <v>37.4</v>
      </c>
      <c r="R51" s="4">
        <f>R$25*(1+'Interface Values'!P51/100)</f>
        <v>9690.912</v>
      </c>
    </row>
    <row r="52" spans="8:18" ht="12.75">
      <c r="H52" s="76">
        <v>27</v>
      </c>
      <c r="I52" s="76">
        <f>I51+(I$55-I$50)/(H$55-H$50)</f>
        <v>31.799999999999997</v>
      </c>
      <c r="J52" s="4">
        <f>J$25*(1+'Interface Values'!H52/100)</f>
        <v>7844.853500000001</v>
      </c>
      <c r="L52" s="76">
        <v>27</v>
      </c>
      <c r="M52" s="76">
        <f>M51+(M$40-M$35)/(L$40-L$35)</f>
        <v>44.8</v>
      </c>
      <c r="N52" s="4">
        <f>N$25*(1+'Interface Values'!L52/100)</f>
        <v>11410.696000000002</v>
      </c>
      <c r="P52" s="76">
        <v>27</v>
      </c>
      <c r="Q52" s="76">
        <f>Q51+(Q$40-Q$35)/(P$40-P$35)</f>
        <v>38.8</v>
      </c>
      <c r="R52" s="4">
        <f>R$25*(1+'Interface Values'!P52/100)</f>
        <v>9767.824</v>
      </c>
    </row>
    <row r="53" spans="8:18" ht="12.75">
      <c r="H53" s="76">
        <v>28</v>
      </c>
      <c r="I53" s="76">
        <f>I52+(I$55-I$50)/(H$55-H$50)</f>
        <v>33.199999999999996</v>
      </c>
      <c r="J53" s="4">
        <f>J$25*(1+'Interface Values'!H53/100)</f>
        <v>7906.624000000002</v>
      </c>
      <c r="L53" s="76">
        <v>28</v>
      </c>
      <c r="M53" s="76">
        <f>M52+(M$40-M$35)/(L$40-L$35)</f>
        <v>46.199999999999996</v>
      </c>
      <c r="N53" s="4">
        <f>N$25*(1+'Interface Values'!L53/100)</f>
        <v>11500.544000000002</v>
      </c>
      <c r="P53" s="76">
        <v>28</v>
      </c>
      <c r="Q53" s="76">
        <f>Q52+(Q$40-Q$35)/(P$40-P$35)</f>
        <v>40.199999999999996</v>
      </c>
      <c r="R53" s="4">
        <f>R$25*(1+'Interface Values'!P53/100)</f>
        <v>9844.736</v>
      </c>
    </row>
    <row r="54" spans="8:18" ht="12.75">
      <c r="H54" s="76">
        <v>29</v>
      </c>
      <c r="I54" s="76">
        <f>I53+(I$55-I$50)/(H$55-H$50)</f>
        <v>34.599999999999994</v>
      </c>
      <c r="J54" s="4">
        <f>J$25*(1+'Interface Values'!H54/100)</f>
        <v>7968.394500000001</v>
      </c>
      <c r="L54" s="76">
        <v>29</v>
      </c>
      <c r="M54" s="76">
        <f>M53+(M$40-M$35)/(L$40-L$35)</f>
        <v>47.599999999999994</v>
      </c>
      <c r="N54" s="4">
        <f>N$25*(1+'Interface Values'!L54/100)</f>
        <v>11590.392000000002</v>
      </c>
      <c r="P54" s="76">
        <v>29</v>
      </c>
      <c r="Q54" s="76">
        <f>Q53+(Q$40-Q$35)/(P$40-P$35)</f>
        <v>41.599999999999994</v>
      </c>
      <c r="R54" s="4">
        <f>R$25*(1+'Interface Values'!P54/100)</f>
        <v>9921.648000000001</v>
      </c>
    </row>
    <row r="55" spans="8:18" ht="12.75">
      <c r="H55" s="76">
        <v>30</v>
      </c>
      <c r="I55" s="76">
        <v>36</v>
      </c>
      <c r="J55" s="4">
        <f>J$25*(1+'Interface Values'!H55/100)</f>
        <v>8030.165000000002</v>
      </c>
      <c r="L55" s="76">
        <v>30</v>
      </c>
      <c r="M55" s="76">
        <v>56</v>
      </c>
      <c r="N55" s="4">
        <f>N$25*(1+'Interface Values'!L55/100)</f>
        <v>11680.240000000002</v>
      </c>
      <c r="P55" s="76">
        <v>30</v>
      </c>
      <c r="Q55" s="76">
        <v>46</v>
      </c>
      <c r="R55" s="4">
        <f>R$25*(1+'Interface Values'!P55/100)</f>
        <v>9998.560000000001</v>
      </c>
    </row>
  </sheetData>
  <sheetProtection/>
  <printOption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dimension ref="A1:K168"/>
  <sheetViews>
    <sheetView zoomScalePageLayoutView="0" workbookViewId="0" topLeftCell="A157">
      <selection activeCell="B101" sqref="B101"/>
    </sheetView>
  </sheetViews>
  <sheetFormatPr defaultColWidth="9.140625" defaultRowHeight="12.75"/>
  <cols>
    <col min="1" max="1" width="2.8515625" style="0" customWidth="1"/>
    <col min="2" max="2" width="57.57421875" style="0" customWidth="1"/>
    <col min="3" max="3" width="17.57421875" style="0" customWidth="1"/>
    <col min="4" max="4" width="13.421875" style="0" customWidth="1"/>
    <col min="5" max="5" width="11.57421875" style="0" customWidth="1"/>
    <col min="6" max="6" width="9.28125" style="0" bestFit="1" customWidth="1"/>
    <col min="7" max="7" width="10.28125" style="0" bestFit="1" customWidth="1"/>
    <col min="9" max="9" width="10.140625" style="0" bestFit="1" customWidth="1"/>
  </cols>
  <sheetData>
    <row r="1" spans="1:10" ht="18">
      <c r="A1" s="11" t="s">
        <v>56</v>
      </c>
      <c r="B1" s="12"/>
      <c r="C1" s="10"/>
      <c r="D1" s="10"/>
      <c r="E1" s="10"/>
      <c r="F1" s="10"/>
      <c r="G1" s="10"/>
      <c r="H1" s="10"/>
      <c r="I1" s="10"/>
      <c r="J1" s="10"/>
    </row>
    <row r="2" spans="1:10" ht="18">
      <c r="A2" s="11" t="s">
        <v>265</v>
      </c>
      <c r="B2" s="12"/>
      <c r="C2" s="10"/>
      <c r="D2" s="10"/>
      <c r="E2" s="10"/>
      <c r="F2" s="10"/>
      <c r="G2" s="10"/>
      <c r="H2" s="10"/>
      <c r="I2" s="10"/>
      <c r="J2" s="26" t="s">
        <v>57</v>
      </c>
    </row>
    <row r="3" ht="12.75">
      <c r="A3" s="1"/>
    </row>
    <row r="4" spans="1:10" ht="15">
      <c r="A4" s="13" t="s">
        <v>116</v>
      </c>
      <c r="B4" s="14"/>
      <c r="C4" s="14"/>
      <c r="D4" s="14"/>
      <c r="E4" s="14"/>
      <c r="F4" s="14"/>
      <c r="G4" s="14"/>
      <c r="H4" s="14"/>
      <c r="I4" s="14"/>
      <c r="J4" s="14"/>
    </row>
    <row r="5" spans="1:4" ht="12.75">
      <c r="A5" t="s">
        <v>12</v>
      </c>
      <c r="C5" t="s">
        <v>13</v>
      </c>
      <c r="D5" s="20">
        <f>'User Interface'!E17</f>
        <v>3200</v>
      </c>
    </row>
    <row r="6" spans="1:4" ht="12.75">
      <c r="A6" t="s">
        <v>1</v>
      </c>
      <c r="D6" s="21">
        <f>'Interface Values'!I7/100</f>
        <v>0.28</v>
      </c>
    </row>
    <row r="7" spans="1:4" ht="12.75">
      <c r="A7" t="s">
        <v>73</v>
      </c>
      <c r="D7" s="21">
        <f>'Interface Values'!I9/100</f>
        <v>0.5</v>
      </c>
    </row>
    <row r="8" spans="1:10" ht="12.75">
      <c r="A8" s="7" t="s">
        <v>126</v>
      </c>
      <c r="C8" s="34" t="s">
        <v>69</v>
      </c>
      <c r="D8" s="44"/>
      <c r="F8" s="34" t="s">
        <v>70</v>
      </c>
      <c r="G8" s="35"/>
      <c r="I8" s="34" t="s">
        <v>117</v>
      </c>
      <c r="J8" s="47"/>
    </row>
    <row r="9" spans="2:10" ht="12.75">
      <c r="B9" t="s">
        <v>2</v>
      </c>
      <c r="C9" s="23" t="s">
        <v>51</v>
      </c>
      <c r="D9" s="46">
        <f>'Interface Values'!C15/100</f>
        <v>0.7</v>
      </c>
      <c r="F9" s="28" t="s">
        <v>54</v>
      </c>
      <c r="G9" s="46">
        <f>'Interface Values'!E15/100</f>
        <v>0.3</v>
      </c>
      <c r="I9" s="28" t="s">
        <v>118</v>
      </c>
      <c r="J9" s="46">
        <f>'Interface Values'!G15/100</f>
        <v>1</v>
      </c>
    </row>
    <row r="10" spans="2:10" ht="12.75">
      <c r="B10" t="s">
        <v>75</v>
      </c>
      <c r="C10" s="23" t="s">
        <v>52</v>
      </c>
      <c r="D10" s="46">
        <f>'Interface Values'!C16/100</f>
        <v>0.3</v>
      </c>
      <c r="F10" s="28" t="s">
        <v>103</v>
      </c>
      <c r="G10" s="46">
        <f>'Interface Values'!E16/100</f>
        <v>0.7</v>
      </c>
      <c r="I10" s="28" t="s">
        <v>119</v>
      </c>
      <c r="J10" s="46">
        <f>'Interface Values'!G16/100</f>
        <v>0</v>
      </c>
    </row>
    <row r="11" spans="2:10" ht="12.75">
      <c r="B11" s="7" t="s">
        <v>4</v>
      </c>
      <c r="C11" s="43" t="s">
        <v>53</v>
      </c>
      <c r="D11" s="46">
        <f>'Interface Values'!C17/100</f>
        <v>0</v>
      </c>
      <c r="F11" s="28" t="s">
        <v>104</v>
      </c>
      <c r="G11" s="46">
        <f>'Interface Values'!E17/100</f>
        <v>0</v>
      </c>
      <c r="I11" s="28" t="s">
        <v>120</v>
      </c>
      <c r="J11" s="46">
        <f>'Interface Values'!G17/100</f>
        <v>0</v>
      </c>
    </row>
    <row r="12" spans="2:10" ht="12.75">
      <c r="B12" s="7" t="s">
        <v>82</v>
      </c>
      <c r="C12" s="23"/>
      <c r="D12" s="25">
        <f>SUM(D9:D11)</f>
        <v>1</v>
      </c>
      <c r="G12" s="3">
        <f>SUM(G9:G11)</f>
        <v>1</v>
      </c>
      <c r="J12" s="3">
        <f>SUM(J9:J11)</f>
        <v>1</v>
      </c>
    </row>
    <row r="13" spans="2:6" ht="12.75">
      <c r="B13" s="7"/>
      <c r="C13" s="5"/>
      <c r="D13" s="24"/>
      <c r="F13" s="1"/>
    </row>
    <row r="14" spans="1:6" ht="12.75">
      <c r="A14" t="s">
        <v>67</v>
      </c>
      <c r="D14" s="21">
        <f>'User Interface'!C32/100</f>
        <v>0.5</v>
      </c>
      <c r="F14" s="1"/>
    </row>
    <row r="15" spans="1:6" ht="12.75">
      <c r="A15" t="s">
        <v>68</v>
      </c>
      <c r="D15" s="19">
        <f>1-D14</f>
        <v>0.5</v>
      </c>
      <c r="F15" s="1"/>
    </row>
    <row r="16" spans="1:4" ht="12.75">
      <c r="A16" s="7" t="s">
        <v>165</v>
      </c>
      <c r="D16" s="31"/>
    </row>
    <row r="17" spans="2:10" ht="12.75">
      <c r="B17" s="7" t="s">
        <v>2</v>
      </c>
      <c r="D17" s="21">
        <f>'Interface Values'!F26/100</f>
        <v>0.08</v>
      </c>
      <c r="E17" s="49" t="s">
        <v>166</v>
      </c>
      <c r="F17" s="50"/>
      <c r="G17" s="50"/>
      <c r="H17" s="50"/>
      <c r="I17" s="50"/>
      <c r="J17" s="51"/>
    </row>
    <row r="18" spans="2:10" ht="12.75">
      <c r="B18" s="7"/>
      <c r="C18" s="7" t="s">
        <v>105</v>
      </c>
      <c r="D18" s="21">
        <f>1+D17</f>
        <v>1.08</v>
      </c>
      <c r="E18" s="39" t="s">
        <v>83</v>
      </c>
      <c r="F18" s="36" t="s">
        <v>163</v>
      </c>
      <c r="G18" s="48"/>
      <c r="H18" s="37"/>
      <c r="I18" s="37"/>
      <c r="J18" s="48"/>
    </row>
    <row r="19" spans="2:10" ht="12.75">
      <c r="B19" s="7" t="s">
        <v>75</v>
      </c>
      <c r="D19" s="21">
        <f>'Interface Values'!F28/100</f>
        <v>0.29</v>
      </c>
      <c r="E19" s="39" t="s">
        <v>84</v>
      </c>
      <c r="F19" s="51">
        <v>0.1</v>
      </c>
      <c r="G19" s="38">
        <v>0.15</v>
      </c>
      <c r="H19" s="38">
        <v>0.2</v>
      </c>
      <c r="I19" s="38">
        <v>0.25</v>
      </c>
      <c r="J19" s="38">
        <v>0.3</v>
      </c>
    </row>
    <row r="20" spans="3:10" ht="12.75">
      <c r="C20" s="7" t="s">
        <v>106</v>
      </c>
      <c r="D20" s="19">
        <f>1+D19</f>
        <v>1.29</v>
      </c>
      <c r="E20" s="49"/>
      <c r="F20" s="49"/>
      <c r="G20" s="49"/>
      <c r="H20" s="49"/>
      <c r="I20" s="49"/>
      <c r="J20" s="49"/>
    </row>
    <row r="21" spans="2:10" ht="12.75">
      <c r="B21" s="7" t="s">
        <v>95</v>
      </c>
      <c r="C21" s="7"/>
      <c r="D21" s="21">
        <f>'Interface Values'!F31/100</f>
        <v>0.28</v>
      </c>
      <c r="E21" s="39" t="s">
        <v>2</v>
      </c>
      <c r="F21" s="51">
        <v>0.08</v>
      </c>
      <c r="G21" s="38">
        <v>0.15</v>
      </c>
      <c r="H21" s="38">
        <v>0.21</v>
      </c>
      <c r="I21" s="38">
        <v>0.29</v>
      </c>
      <c r="J21" s="38">
        <v>0.36</v>
      </c>
    </row>
    <row r="22" spans="2:10" ht="12.75">
      <c r="B22" s="7"/>
      <c r="C22" s="7" t="s">
        <v>107</v>
      </c>
      <c r="D22" s="19">
        <f>1+D21</f>
        <v>1.28</v>
      </c>
      <c r="E22" s="39" t="s">
        <v>75</v>
      </c>
      <c r="F22" s="51">
        <v>0.13</v>
      </c>
      <c r="G22" s="38">
        <v>0.2</v>
      </c>
      <c r="H22" s="38">
        <v>0.29</v>
      </c>
      <c r="I22" s="38">
        <v>0.42</v>
      </c>
      <c r="J22" s="38">
        <v>0.56</v>
      </c>
    </row>
    <row r="23" spans="2:10" ht="12.75">
      <c r="B23" s="7" t="s">
        <v>96</v>
      </c>
      <c r="C23" s="7"/>
      <c r="D23" s="21">
        <f>'Interface Values'!F32/100</f>
        <v>0.32199999999999995</v>
      </c>
      <c r="E23" s="39" t="s">
        <v>4</v>
      </c>
      <c r="F23" s="51">
        <v>0.14</v>
      </c>
      <c r="G23" s="38">
        <v>0.21</v>
      </c>
      <c r="H23" s="38">
        <v>0.28</v>
      </c>
      <c r="I23" s="38">
        <v>0.36</v>
      </c>
      <c r="J23" s="38">
        <v>0.46</v>
      </c>
    </row>
    <row r="24" spans="3:4" ht="12.75">
      <c r="C24" s="7" t="s">
        <v>108</v>
      </c>
      <c r="D24" s="19">
        <f>1+D23</f>
        <v>1.322</v>
      </c>
    </row>
    <row r="25" spans="1:4" ht="12.75">
      <c r="A25" t="s">
        <v>3</v>
      </c>
      <c r="D25" s="19"/>
    </row>
    <row r="26" spans="2:4" ht="12.75">
      <c r="B26" s="7" t="s">
        <v>85</v>
      </c>
      <c r="C26" t="s">
        <v>81</v>
      </c>
      <c r="D26" s="22">
        <f>IF('User Interface'!G64=0,'User Interface'!D64,'User Interface'!G64)</f>
        <v>0.33</v>
      </c>
    </row>
    <row r="27" spans="2:4" ht="12.75">
      <c r="B27" s="7" t="s">
        <v>86</v>
      </c>
      <c r="C27" t="s">
        <v>81</v>
      </c>
      <c r="D27" s="22">
        <f>IF('User Interface'!G65=0,'User Interface'!D65,'User Interface'!G65)</f>
        <v>0.48</v>
      </c>
    </row>
    <row r="28" spans="2:4" ht="12.75">
      <c r="B28" s="7" t="s">
        <v>87</v>
      </c>
      <c r="C28" t="s">
        <v>81</v>
      </c>
      <c r="D28" s="22">
        <f>IF('User Interface'!G66=0,'User Interface'!D66,'User Interface'!G66)</f>
        <v>0.76</v>
      </c>
    </row>
    <row r="29" spans="1:4" ht="12.75">
      <c r="A29" s="2"/>
      <c r="B29" s="2"/>
      <c r="D29" s="3"/>
    </row>
    <row r="30" spans="1:10" ht="15">
      <c r="A30" s="13" t="s">
        <v>9</v>
      </c>
      <c r="B30" s="14"/>
      <c r="C30" s="14"/>
      <c r="D30" s="14"/>
      <c r="E30" s="14"/>
      <c r="F30" s="14"/>
      <c r="G30" s="14"/>
      <c r="H30" s="14"/>
      <c r="I30" s="14"/>
      <c r="J30" s="14"/>
    </row>
    <row r="32" spans="1:5" ht="12.75">
      <c r="A32" s="7" t="s">
        <v>91</v>
      </c>
      <c r="C32" t="s">
        <v>0</v>
      </c>
      <c r="D32" s="15">
        <f>D5*D6*24*365</f>
        <v>7848960.000000001</v>
      </c>
      <c r="E32" s="16" t="s">
        <v>30</v>
      </c>
    </row>
    <row r="33" spans="1:5" ht="12.75">
      <c r="A33" t="s">
        <v>64</v>
      </c>
      <c r="C33" t="s">
        <v>0</v>
      </c>
      <c r="D33" s="15">
        <f>D5*24*365</f>
        <v>28032000</v>
      </c>
      <c r="E33" s="16" t="s">
        <v>60</v>
      </c>
    </row>
    <row r="34" spans="1:4" ht="12.75">
      <c r="A34" s="7" t="s">
        <v>90</v>
      </c>
      <c r="C34" t="s">
        <v>0</v>
      </c>
      <c r="D34" s="15">
        <f>D33-D32</f>
        <v>20183040</v>
      </c>
    </row>
    <row r="36" spans="1:7" ht="12.75">
      <c r="A36" t="s">
        <v>65</v>
      </c>
      <c r="D36" s="4"/>
      <c r="F36" s="17"/>
      <c r="G36" s="16"/>
    </row>
    <row r="37" spans="2:7" ht="12.75">
      <c r="B37" t="s">
        <v>69</v>
      </c>
      <c r="C37" t="s">
        <v>0</v>
      </c>
      <c r="D37" s="4">
        <f>IF(D14&lt;0.51,D32*D14*D7,D32*D7*0.5+((D32-D32*D7*0.5)*(D14-0.5)/0.5))</f>
        <v>1962240.0000000002</v>
      </c>
      <c r="E37" s="16"/>
      <c r="F37" s="17"/>
      <c r="G37" s="16"/>
    </row>
    <row r="38" spans="2:5" ht="12.75">
      <c r="B38" t="s">
        <v>70</v>
      </c>
      <c r="C38" t="s">
        <v>0</v>
      </c>
      <c r="D38" s="4">
        <f>D32-D37</f>
        <v>5886720.000000001</v>
      </c>
      <c r="E38" s="16" t="s">
        <v>180</v>
      </c>
    </row>
    <row r="39" spans="2:4" ht="12.75">
      <c r="B39" t="s">
        <v>8</v>
      </c>
      <c r="C39" t="s">
        <v>0</v>
      </c>
      <c r="D39" s="4">
        <f>SUM(D37:D38)</f>
        <v>7848960.000000001</v>
      </c>
    </row>
    <row r="40" spans="4:5" ht="12.75">
      <c r="D40" s="4"/>
      <c r="E40" s="16"/>
    </row>
    <row r="41" spans="1:6" ht="12.75">
      <c r="A41" s="7" t="s">
        <v>93</v>
      </c>
      <c r="C41" t="s">
        <v>0</v>
      </c>
      <c r="D41" s="4">
        <f>D14*D33-D37</f>
        <v>12053760</v>
      </c>
      <c r="E41" s="17">
        <f>1-D14</f>
        <v>0.5</v>
      </c>
      <c r="F41" s="16" t="s">
        <v>77</v>
      </c>
    </row>
    <row r="42" spans="2:8" ht="12.75">
      <c r="B42" t="s">
        <v>2</v>
      </c>
      <c r="C42" t="s">
        <v>0</v>
      </c>
      <c r="D42" s="4">
        <f>D9*D41</f>
        <v>8437632</v>
      </c>
      <c r="E42" t="s">
        <v>37</v>
      </c>
      <c r="F42" s="17">
        <f>D9</f>
        <v>0.7</v>
      </c>
      <c r="G42" s="16" t="s">
        <v>31</v>
      </c>
      <c r="H42" s="53" t="s">
        <v>51</v>
      </c>
    </row>
    <row r="43" spans="2:8" ht="12.75">
      <c r="B43" t="s">
        <v>75</v>
      </c>
      <c r="C43" t="s">
        <v>0</v>
      </c>
      <c r="D43" s="4">
        <f>D10*D41</f>
        <v>3616128</v>
      </c>
      <c r="E43" t="s">
        <v>38</v>
      </c>
      <c r="F43" s="17">
        <f>D10</f>
        <v>0.3</v>
      </c>
      <c r="G43" s="16" t="s">
        <v>31</v>
      </c>
      <c r="H43" s="53" t="s">
        <v>52</v>
      </c>
    </row>
    <row r="44" spans="2:8" ht="12.75">
      <c r="B44" s="7" t="s">
        <v>4</v>
      </c>
      <c r="C44" s="7" t="s">
        <v>0</v>
      </c>
      <c r="D44" s="4">
        <f>D11*D41</f>
        <v>0</v>
      </c>
      <c r="E44" s="7" t="s">
        <v>113</v>
      </c>
      <c r="F44" s="17">
        <f>D11</f>
        <v>0</v>
      </c>
      <c r="G44" s="16" t="s">
        <v>31</v>
      </c>
      <c r="H44" s="53" t="s">
        <v>53</v>
      </c>
    </row>
    <row r="45" spans="2:7" ht="12.75">
      <c r="B45" s="7"/>
      <c r="C45" s="7"/>
      <c r="D45" s="4"/>
      <c r="F45" s="17"/>
      <c r="G45" s="16"/>
    </row>
    <row r="46" spans="1:6" ht="12.75">
      <c r="A46" s="7" t="s">
        <v>92</v>
      </c>
      <c r="C46" t="s">
        <v>0</v>
      </c>
      <c r="D46" s="4">
        <f>D15*D33-D38</f>
        <v>8129279.999999999</v>
      </c>
      <c r="E46" s="17">
        <f>1-D15</f>
        <v>0.5</v>
      </c>
      <c r="F46" s="16" t="s">
        <v>77</v>
      </c>
    </row>
    <row r="47" spans="2:8" ht="12.75">
      <c r="B47" t="s">
        <v>2</v>
      </c>
      <c r="C47" t="s">
        <v>0</v>
      </c>
      <c r="D47" s="4">
        <f>G9*D46</f>
        <v>2438783.9999999995</v>
      </c>
      <c r="E47" t="s">
        <v>39</v>
      </c>
      <c r="F47" s="17">
        <f>G9</f>
        <v>0.3</v>
      </c>
      <c r="G47" s="16" t="s">
        <v>31</v>
      </c>
      <c r="H47" s="53" t="s">
        <v>54</v>
      </c>
    </row>
    <row r="48" spans="2:8" ht="12.75">
      <c r="B48" t="s">
        <v>75</v>
      </c>
      <c r="C48" t="s">
        <v>0</v>
      </c>
      <c r="D48" s="4">
        <f>G10*D46</f>
        <v>5690495.999999999</v>
      </c>
      <c r="E48" t="s">
        <v>40</v>
      </c>
      <c r="F48" s="17">
        <f>G10</f>
        <v>0.7</v>
      </c>
      <c r="G48" s="16" t="s">
        <v>31</v>
      </c>
      <c r="H48" s="53" t="s">
        <v>103</v>
      </c>
    </row>
    <row r="49" spans="2:8" ht="12.75">
      <c r="B49" s="7" t="s">
        <v>4</v>
      </c>
      <c r="C49" t="s">
        <v>0</v>
      </c>
      <c r="D49" s="4">
        <f>G11*D46</f>
        <v>0</v>
      </c>
      <c r="E49" s="7" t="s">
        <v>114</v>
      </c>
      <c r="F49" s="17">
        <f>D11</f>
        <v>0</v>
      </c>
      <c r="G49" s="16" t="s">
        <v>31</v>
      </c>
      <c r="H49" s="53" t="s">
        <v>104</v>
      </c>
    </row>
    <row r="50" spans="2:7" ht="12.75">
      <c r="B50" s="7"/>
      <c r="D50" s="4"/>
      <c r="F50" s="17"/>
      <c r="G50" s="16"/>
    </row>
    <row r="51" spans="1:7" ht="12.75">
      <c r="A51" s="7" t="s">
        <v>94</v>
      </c>
      <c r="B51" s="7"/>
      <c r="C51" t="s">
        <v>0</v>
      </c>
      <c r="D51" s="4">
        <f>D42+D43+D44+D47+D48+D49</f>
        <v>20183040</v>
      </c>
      <c r="E51" s="16" t="s">
        <v>112</v>
      </c>
      <c r="F51" s="17"/>
      <c r="G51" s="16"/>
    </row>
    <row r="52" spans="4:7" ht="12.75">
      <c r="D52" s="4"/>
      <c r="F52" s="17"/>
      <c r="G52" s="16"/>
    </row>
    <row r="53" spans="1:10" ht="15">
      <c r="A53" s="13" t="s">
        <v>115</v>
      </c>
      <c r="B53" s="14"/>
      <c r="C53" s="14"/>
      <c r="D53" s="14"/>
      <c r="E53" s="14"/>
      <c r="F53" s="14"/>
      <c r="G53" s="14"/>
      <c r="H53" s="14"/>
      <c r="I53" s="14"/>
      <c r="J53" s="14"/>
    </row>
    <row r="54" ht="12.75">
      <c r="B54" t="s">
        <v>29</v>
      </c>
    </row>
    <row r="55" spans="1:2" ht="12.75">
      <c r="A55" s="2" t="s">
        <v>130</v>
      </c>
      <c r="B55" s="5"/>
    </row>
    <row r="56" spans="1:5" ht="12.75">
      <c r="A56" t="s">
        <v>2</v>
      </c>
      <c r="B56" s="5"/>
      <c r="C56" s="7" t="s">
        <v>27</v>
      </c>
      <c r="D56" s="8">
        <f>D156</f>
        <v>169593.6</v>
      </c>
      <c r="E56" s="4"/>
    </row>
    <row r="57" spans="1:5" ht="12.75">
      <c r="A57" t="s">
        <v>75</v>
      </c>
      <c r="B57" s="7"/>
      <c r="C57" s="7" t="s">
        <v>27</v>
      </c>
      <c r="D57" s="8">
        <f>D157</f>
        <v>0</v>
      </c>
      <c r="E57" s="4"/>
    </row>
    <row r="58" spans="1:5" ht="12.75">
      <c r="A58" s="7" t="s">
        <v>28</v>
      </c>
      <c r="B58" s="28"/>
      <c r="C58" s="7" t="s">
        <v>27</v>
      </c>
      <c r="D58" s="8">
        <f>SUM(D56:D57)</f>
        <v>169593.6</v>
      </c>
      <c r="E58" s="4"/>
    </row>
    <row r="59" spans="1:5" ht="12.75">
      <c r="A59" s="7" t="s">
        <v>4</v>
      </c>
      <c r="B59" s="7"/>
      <c r="C59" s="7" t="s">
        <v>124</v>
      </c>
      <c r="D59" s="8">
        <f>D158</f>
        <v>0</v>
      </c>
      <c r="E59" s="4"/>
    </row>
    <row r="60" spans="1:4" ht="12.75">
      <c r="A60" s="7"/>
      <c r="B60" s="2"/>
      <c r="C60" s="2"/>
      <c r="D60" s="6"/>
    </row>
    <row r="61" spans="1:4" ht="12.75">
      <c r="A61" s="2" t="s">
        <v>102</v>
      </c>
      <c r="C61" s="7"/>
      <c r="D61" s="4"/>
    </row>
    <row r="62" ht="12.75">
      <c r="A62" t="s">
        <v>71</v>
      </c>
    </row>
    <row r="63" spans="2:4" ht="12.75">
      <c r="B63" t="s">
        <v>2</v>
      </c>
      <c r="C63" s="7" t="s">
        <v>27</v>
      </c>
      <c r="D63" s="4">
        <f>D162</f>
        <v>55131.487488000006</v>
      </c>
    </row>
    <row r="64" spans="2:4" ht="12.75">
      <c r="B64" t="s">
        <v>75</v>
      </c>
      <c r="C64" s="7" t="s">
        <v>27</v>
      </c>
      <c r="D64" s="4">
        <f>D163</f>
        <v>41050.28505599999</v>
      </c>
    </row>
    <row r="65" spans="2:4" ht="12.75">
      <c r="B65" s="7" t="s">
        <v>4</v>
      </c>
      <c r="C65" s="7" t="s">
        <v>124</v>
      </c>
      <c r="D65" s="4">
        <f>D164</f>
        <v>0</v>
      </c>
    </row>
    <row r="66" ht="12.75">
      <c r="A66" t="s">
        <v>72</v>
      </c>
    </row>
    <row r="67" spans="2:4" ht="12.75">
      <c r="B67" t="s">
        <v>2</v>
      </c>
      <c r="C67" s="7" t="s">
        <v>27</v>
      </c>
      <c r="D67" s="4">
        <f>D166</f>
        <v>15935.014656</v>
      </c>
    </row>
    <row r="68" spans="2:4" ht="12.75">
      <c r="B68" t="s">
        <v>75</v>
      </c>
      <c r="C68" s="7" t="s">
        <v>27</v>
      </c>
      <c r="D68" s="4">
        <f>D167</f>
        <v>64598.510591999984</v>
      </c>
    </row>
    <row r="69" spans="2:4" ht="12.75">
      <c r="B69" s="7" t="s">
        <v>4</v>
      </c>
      <c r="C69" s="7" t="s">
        <v>124</v>
      </c>
      <c r="D69" s="4">
        <f>D168</f>
        <v>0</v>
      </c>
    </row>
    <row r="70" spans="1:4" ht="12.75">
      <c r="A70" s="7" t="s">
        <v>123</v>
      </c>
      <c r="D70" s="4">
        <f>D63+D64+D67+D68</f>
        <v>176715.297792</v>
      </c>
    </row>
    <row r="71" spans="2:4" ht="12.75">
      <c r="B71" t="s">
        <v>47</v>
      </c>
      <c r="D71" s="3">
        <f>IF(D58=0,0,D70/D58)</f>
        <v>1.0419927272727272</v>
      </c>
    </row>
    <row r="72" spans="1:4" ht="12.75">
      <c r="A72" s="7" t="s">
        <v>131</v>
      </c>
      <c r="C72" s="7" t="s">
        <v>124</v>
      </c>
      <c r="D72" s="4">
        <f>D65+D69</f>
        <v>0</v>
      </c>
    </row>
    <row r="73" spans="2:4" ht="12.75">
      <c r="B73" s="7" t="s">
        <v>132</v>
      </c>
      <c r="D73" s="3">
        <f>IF(D59=0,0,D72/D59)</f>
        <v>0</v>
      </c>
    </row>
    <row r="75" spans="1:10" ht="15">
      <c r="A75" s="13" t="s">
        <v>10</v>
      </c>
      <c r="B75" s="14"/>
      <c r="C75" s="14"/>
      <c r="D75" s="14"/>
      <c r="E75" s="14"/>
      <c r="F75" s="14"/>
      <c r="G75" s="14"/>
      <c r="H75" s="14"/>
      <c r="I75" s="14"/>
      <c r="J75" s="14"/>
    </row>
    <row r="76" ht="12.75">
      <c r="A76" s="2"/>
    </row>
    <row r="77" ht="12.75">
      <c r="A77" s="7" t="s">
        <v>7</v>
      </c>
    </row>
    <row r="78" spans="1:5" ht="12.75">
      <c r="A78" s="7"/>
      <c r="B78" t="s">
        <v>2</v>
      </c>
      <c r="C78" t="s">
        <v>164</v>
      </c>
      <c r="D78" s="9">
        <f>D139*D26/10^6</f>
        <v>9.25056</v>
      </c>
      <c r="E78" s="16" t="s">
        <v>33</v>
      </c>
    </row>
    <row r="79" spans="1:5" ht="12.75">
      <c r="A79" s="7"/>
      <c r="B79" t="s">
        <v>75</v>
      </c>
      <c r="C79" t="s">
        <v>164</v>
      </c>
      <c r="D79" s="9">
        <f>D140*D27/10^6</f>
        <v>0</v>
      </c>
      <c r="E79" s="16" t="s">
        <v>34</v>
      </c>
    </row>
    <row r="80" spans="1:5" ht="12.75">
      <c r="A80" s="7"/>
      <c r="B80" s="7" t="s">
        <v>4</v>
      </c>
      <c r="C80" t="s">
        <v>164</v>
      </c>
      <c r="D80" s="9">
        <f>D141*D28/10^6</f>
        <v>0</v>
      </c>
      <c r="E80" s="16" t="s">
        <v>133</v>
      </c>
    </row>
    <row r="81" spans="1:4" ht="12.75">
      <c r="A81" s="7"/>
      <c r="B81" s="2" t="s">
        <v>8</v>
      </c>
      <c r="C81" s="1" t="s">
        <v>164</v>
      </c>
      <c r="D81" s="32">
        <f>SUM(D78:D80)</f>
        <v>9.25056</v>
      </c>
    </row>
    <row r="82" ht="12.75">
      <c r="E82" s="16"/>
    </row>
    <row r="83" ht="12.75">
      <c r="A83" s="7" t="s">
        <v>93</v>
      </c>
    </row>
    <row r="84" spans="1:5" ht="12.75">
      <c r="A84" s="5"/>
      <c r="B84" t="s">
        <v>2</v>
      </c>
      <c r="C84" t="s">
        <v>164</v>
      </c>
      <c r="D84" s="9">
        <f>D42*D26*D18/10^6</f>
        <v>3.0071720448000003</v>
      </c>
      <c r="E84" s="16" t="s">
        <v>143</v>
      </c>
    </row>
    <row r="85" spans="1:5" ht="12.75">
      <c r="A85" s="5"/>
      <c r="B85" t="s">
        <v>75</v>
      </c>
      <c r="C85" t="s">
        <v>164</v>
      </c>
      <c r="D85" s="9">
        <f>D43*D20*D27/10^6</f>
        <v>2.2391064575999997</v>
      </c>
      <c r="E85" s="16" t="s">
        <v>144</v>
      </c>
    </row>
    <row r="86" spans="1:5" ht="12.75">
      <c r="A86" s="5"/>
      <c r="B86" s="7" t="s">
        <v>4</v>
      </c>
      <c r="C86" t="s">
        <v>164</v>
      </c>
      <c r="D86" s="9">
        <f>D44*D22*D28/10^6</f>
        <v>0</v>
      </c>
      <c r="E86" s="16" t="s">
        <v>145</v>
      </c>
    </row>
    <row r="87" ht="12.75">
      <c r="A87" s="7" t="s">
        <v>92</v>
      </c>
    </row>
    <row r="88" spans="1:5" ht="12.75">
      <c r="A88" s="5"/>
      <c r="B88" t="s">
        <v>2</v>
      </c>
      <c r="C88" t="s">
        <v>164</v>
      </c>
      <c r="D88" s="9">
        <f>D47*D18*D26/1000000</f>
        <v>0.8691826176</v>
      </c>
      <c r="E88" s="16" t="s">
        <v>146</v>
      </c>
    </row>
    <row r="89" spans="1:5" ht="12.75">
      <c r="A89" s="5"/>
      <c r="B89" t="s">
        <v>75</v>
      </c>
      <c r="C89" t="s">
        <v>164</v>
      </c>
      <c r="D89" s="9">
        <f>D48*D20*D27/1000000</f>
        <v>3.5235551231999995</v>
      </c>
      <c r="E89" s="16" t="s">
        <v>147</v>
      </c>
    </row>
    <row r="90" spans="1:5" ht="12.75">
      <c r="A90" s="5"/>
      <c r="B90" s="7" t="s">
        <v>4</v>
      </c>
      <c r="C90" t="s">
        <v>164</v>
      </c>
      <c r="D90" s="9">
        <f>D152*D28*D24/10^6</f>
        <v>0</v>
      </c>
      <c r="E90" s="16" t="s">
        <v>148</v>
      </c>
    </row>
    <row r="91" spans="2:4" ht="12.75">
      <c r="B91" s="2" t="s">
        <v>8</v>
      </c>
      <c r="C91" s="1" t="s">
        <v>164</v>
      </c>
      <c r="D91" s="32">
        <f>SUM(D84:D90)</f>
        <v>9.6390162432</v>
      </c>
    </row>
    <row r="92" spans="2:4" ht="12.75">
      <c r="B92" s="2"/>
      <c r="C92" s="2"/>
      <c r="D92" s="45">
        <f>D91/D81</f>
        <v>1.0419927272727274</v>
      </c>
    </row>
    <row r="93" spans="2:4" ht="12.75">
      <c r="B93" s="2"/>
      <c r="C93" s="2"/>
      <c r="D93" s="32"/>
    </row>
    <row r="94" spans="2:3" ht="12.75">
      <c r="B94" s="2"/>
      <c r="C94" s="2"/>
    </row>
    <row r="95" spans="2:4" ht="12.75">
      <c r="B95" s="2"/>
      <c r="C95" s="2"/>
      <c r="D95" s="32"/>
    </row>
    <row r="96" spans="2:4" ht="12.75">
      <c r="B96" s="2"/>
      <c r="C96" s="2"/>
      <c r="D96" s="32"/>
    </row>
    <row r="97" spans="1:10" ht="15">
      <c r="A97" s="13" t="s">
        <v>99</v>
      </c>
      <c r="B97" s="14"/>
      <c r="C97" s="14"/>
      <c r="D97" s="14"/>
      <c r="E97" s="14"/>
      <c r="F97" s="14"/>
      <c r="G97" s="14"/>
      <c r="H97" s="14"/>
      <c r="I97" s="14"/>
      <c r="J97" s="27" t="s">
        <v>58</v>
      </c>
    </row>
    <row r="98" spans="1:10" ht="15">
      <c r="A98" s="42"/>
      <c r="B98" s="40"/>
      <c r="C98" s="40"/>
      <c r="D98" s="40"/>
      <c r="E98" s="40"/>
      <c r="F98" s="40"/>
      <c r="G98" s="40"/>
      <c r="H98" s="40"/>
      <c r="I98" s="40"/>
      <c r="J98" s="41"/>
    </row>
    <row r="99" spans="1:10" ht="15">
      <c r="A99" s="124" t="s">
        <v>252</v>
      </c>
      <c r="B99" s="121"/>
      <c r="C99" s="121"/>
      <c r="D99" s="121"/>
      <c r="E99" s="121"/>
      <c r="F99" s="121"/>
      <c r="G99" s="121"/>
      <c r="H99" s="121"/>
      <c r="I99" s="121"/>
      <c r="J99" s="122"/>
    </row>
    <row r="100" spans="1:10" ht="15">
      <c r="A100" s="150"/>
      <c r="B100" s="125" t="s">
        <v>371</v>
      </c>
      <c r="C100" s="98"/>
      <c r="D100" s="98"/>
      <c r="E100" s="98"/>
      <c r="F100" s="98"/>
      <c r="G100" s="98"/>
      <c r="H100" s="98"/>
      <c r="I100" s="98"/>
      <c r="J100" s="151"/>
    </row>
    <row r="101" spans="1:10" ht="15">
      <c r="A101" s="150"/>
      <c r="B101" s="98"/>
      <c r="C101" s="98"/>
      <c r="D101" s="98"/>
      <c r="E101" s="98"/>
      <c r="F101" s="98"/>
      <c r="G101" s="98"/>
      <c r="H101" s="98"/>
      <c r="I101" s="98"/>
      <c r="J101" s="151"/>
    </row>
    <row r="102" spans="1:10" ht="14.25">
      <c r="A102" s="123" t="s">
        <v>100</v>
      </c>
      <c r="B102" s="76"/>
      <c r="C102" s="76"/>
      <c r="D102" s="76"/>
      <c r="E102" s="76"/>
      <c r="F102" s="76"/>
      <c r="G102" s="76"/>
      <c r="H102" s="76"/>
      <c r="J102" s="78"/>
    </row>
    <row r="103" spans="1:10" ht="12.75">
      <c r="A103" s="75" t="s">
        <v>15</v>
      </c>
      <c r="B103" s="76"/>
      <c r="C103" s="76"/>
      <c r="D103" s="76"/>
      <c r="E103" s="76"/>
      <c r="F103" s="76"/>
      <c r="G103" s="76"/>
      <c r="H103" s="76"/>
      <c r="I103" s="76"/>
      <c r="J103" s="78"/>
    </row>
    <row r="104" spans="1:10" ht="12.75">
      <c r="A104" s="75"/>
      <c r="B104" s="76" t="s">
        <v>19</v>
      </c>
      <c r="C104" s="76"/>
      <c r="D104" s="76"/>
      <c r="E104" s="76"/>
      <c r="F104" s="76"/>
      <c r="G104" s="76"/>
      <c r="H104" s="76"/>
      <c r="I104" s="76"/>
      <c r="J104" s="78"/>
    </row>
    <row r="105" spans="1:10" ht="12.75">
      <c r="A105" s="75"/>
      <c r="B105" s="76"/>
      <c r="C105" s="76"/>
      <c r="D105" s="76"/>
      <c r="E105" s="76"/>
      <c r="F105" s="76"/>
      <c r="G105" s="76"/>
      <c r="H105" s="76"/>
      <c r="I105" s="76"/>
      <c r="J105" s="78"/>
    </row>
    <row r="106" spans="1:10" ht="12.75">
      <c r="A106" s="75" t="s">
        <v>14</v>
      </c>
      <c r="B106" s="76"/>
      <c r="C106" s="76"/>
      <c r="D106" s="76"/>
      <c r="E106" s="76"/>
      <c r="F106" s="87" t="s">
        <v>55</v>
      </c>
      <c r="G106" s="88"/>
      <c r="H106" s="88"/>
      <c r="I106" s="88"/>
      <c r="J106" s="89"/>
    </row>
    <row r="107" spans="1:10" ht="12.75">
      <c r="A107" s="75"/>
      <c r="B107" s="76" t="s">
        <v>2</v>
      </c>
      <c r="C107" s="15">
        <v>7150</v>
      </c>
      <c r="D107" s="76" t="s">
        <v>50</v>
      </c>
      <c r="E107" s="76"/>
      <c r="F107" s="88" t="s">
        <v>48</v>
      </c>
      <c r="G107" s="90">
        <v>5642</v>
      </c>
      <c r="H107" s="88" t="s">
        <v>49</v>
      </c>
      <c r="I107" s="88"/>
      <c r="J107" s="89"/>
    </row>
    <row r="108" spans="1:10" ht="12.75">
      <c r="A108" s="75"/>
      <c r="B108" s="76"/>
      <c r="C108" s="91">
        <f>C107/1000</f>
        <v>7.15</v>
      </c>
      <c r="D108" s="76" t="s">
        <v>26</v>
      </c>
      <c r="E108" s="76"/>
      <c r="F108" s="88"/>
      <c r="G108" s="92">
        <f>G107*1000/1000000</f>
        <v>5.642</v>
      </c>
      <c r="H108" s="88" t="s">
        <v>26</v>
      </c>
      <c r="I108" s="88"/>
      <c r="J108" s="89"/>
    </row>
    <row r="109" spans="1:10" ht="12.75">
      <c r="A109" s="75"/>
      <c r="B109" s="76" t="s">
        <v>75</v>
      </c>
      <c r="C109" s="15">
        <v>9141</v>
      </c>
      <c r="D109" s="76" t="s">
        <v>50</v>
      </c>
      <c r="E109" s="76"/>
      <c r="F109" s="88" t="s">
        <v>48</v>
      </c>
      <c r="G109" s="90">
        <v>11765</v>
      </c>
      <c r="H109" s="88" t="s">
        <v>49</v>
      </c>
      <c r="I109" s="88"/>
      <c r="J109" s="89"/>
    </row>
    <row r="110" spans="1:10" ht="12.75">
      <c r="A110" s="75"/>
      <c r="B110" s="76"/>
      <c r="C110" s="91">
        <f>C109/1000</f>
        <v>9.141</v>
      </c>
      <c r="D110" s="76" t="s">
        <v>26</v>
      </c>
      <c r="E110" s="76"/>
      <c r="F110" s="88"/>
      <c r="G110" s="92">
        <f>G109*1000/1000000</f>
        <v>11.765</v>
      </c>
      <c r="H110" s="88" t="s">
        <v>26</v>
      </c>
      <c r="I110" s="88"/>
      <c r="J110" s="89"/>
    </row>
    <row r="111" spans="1:10" ht="12.75">
      <c r="A111" s="75"/>
      <c r="B111" s="76"/>
      <c r="C111" s="15"/>
      <c r="D111" s="76"/>
      <c r="E111" s="76"/>
      <c r="F111" s="88"/>
      <c r="G111" s="88"/>
      <c r="H111" s="88"/>
      <c r="I111" s="88"/>
      <c r="J111" s="89"/>
    </row>
    <row r="112" spans="1:10" ht="12.75">
      <c r="A112" s="75"/>
      <c r="B112" s="76" t="s">
        <v>16</v>
      </c>
      <c r="C112" s="15">
        <v>1021</v>
      </c>
      <c r="D112" s="76" t="s">
        <v>17</v>
      </c>
      <c r="E112" s="76"/>
      <c r="F112" s="88"/>
      <c r="G112" s="88"/>
      <c r="H112" s="88"/>
      <c r="I112" s="88"/>
      <c r="J112" s="89"/>
    </row>
    <row r="113" spans="1:10" ht="12.75">
      <c r="A113" s="75"/>
      <c r="B113" s="76"/>
      <c r="C113" s="15"/>
      <c r="D113" s="76"/>
      <c r="E113" s="76"/>
      <c r="F113" s="88"/>
      <c r="G113" s="88"/>
      <c r="H113" s="88"/>
      <c r="I113" s="88"/>
      <c r="J113" s="89"/>
    </row>
    <row r="114" spans="1:10" ht="12.75">
      <c r="A114" s="75"/>
      <c r="B114" s="76" t="s">
        <v>2</v>
      </c>
      <c r="C114" s="93">
        <f>C108/C112</f>
        <v>0.0070029382957884434</v>
      </c>
      <c r="D114" s="76" t="s">
        <v>25</v>
      </c>
      <c r="E114" s="76"/>
      <c r="F114" s="88"/>
      <c r="G114" s="88">
        <f>G108/C112</f>
        <v>0.005525954946131244</v>
      </c>
      <c r="H114" s="88" t="s">
        <v>25</v>
      </c>
      <c r="I114" s="88"/>
      <c r="J114" s="89"/>
    </row>
    <row r="115" spans="1:10" ht="12.75">
      <c r="A115" s="75"/>
      <c r="B115" s="76" t="s">
        <v>75</v>
      </c>
      <c r="C115" s="93">
        <f>C110/C112</f>
        <v>0.008952987267384917</v>
      </c>
      <c r="D115" s="76" t="s">
        <v>25</v>
      </c>
      <c r="E115" s="76"/>
      <c r="F115" s="88"/>
      <c r="G115" s="88">
        <f>G110/C112</f>
        <v>0.011523016650342801</v>
      </c>
      <c r="H115" s="88" t="s">
        <v>25</v>
      </c>
      <c r="I115" s="88"/>
      <c r="J115" s="89"/>
    </row>
    <row r="116" spans="1:10" ht="12.75">
      <c r="A116" s="75"/>
      <c r="B116" s="94" t="s">
        <v>74</v>
      </c>
      <c r="C116" s="95"/>
      <c r="D116" s="95"/>
      <c r="E116" s="76"/>
      <c r="F116" s="76"/>
      <c r="G116" s="76"/>
      <c r="H116" s="76"/>
      <c r="I116" s="76"/>
      <c r="J116" s="78"/>
    </row>
    <row r="117" spans="1:10" ht="12.75">
      <c r="A117" s="75"/>
      <c r="B117" s="95" t="s">
        <v>66</v>
      </c>
      <c r="C117" s="95">
        <f>284</f>
        <v>284</v>
      </c>
      <c r="D117" s="95" t="s">
        <v>20</v>
      </c>
      <c r="E117" s="76"/>
      <c r="F117" s="88" t="s">
        <v>62</v>
      </c>
      <c r="G117" s="88"/>
      <c r="H117" s="88"/>
      <c r="I117" s="88"/>
      <c r="J117" s="89"/>
    </row>
    <row r="118" spans="1:10" ht="12.75">
      <c r="A118" s="75"/>
      <c r="B118" s="95"/>
      <c r="C118" s="96">
        <f>C117*365</f>
        <v>103660</v>
      </c>
      <c r="D118" s="95" t="s">
        <v>21</v>
      </c>
      <c r="E118" s="76"/>
      <c r="F118" s="88" t="s">
        <v>2</v>
      </c>
      <c r="G118" s="88">
        <v>7000</v>
      </c>
      <c r="H118" s="88" t="s">
        <v>61</v>
      </c>
      <c r="I118" s="88"/>
      <c r="J118" s="89"/>
    </row>
    <row r="119" spans="1:10" ht="12.75">
      <c r="A119" s="75"/>
      <c r="B119" s="95"/>
      <c r="C119" s="95">
        <v>13.492</v>
      </c>
      <c r="D119" s="95" t="s">
        <v>22</v>
      </c>
      <c r="E119" s="76"/>
      <c r="F119" s="88"/>
      <c r="G119" s="88">
        <v>7</v>
      </c>
      <c r="H119" s="88" t="s">
        <v>36</v>
      </c>
      <c r="I119" s="88"/>
      <c r="J119" s="89"/>
    </row>
    <row r="120" spans="1:10" ht="12.75">
      <c r="A120" s="75"/>
      <c r="B120" s="95"/>
      <c r="C120" s="96">
        <f>C118/C119</f>
        <v>7683.0714497479985</v>
      </c>
      <c r="D120" s="95" t="s">
        <v>23</v>
      </c>
      <c r="E120" s="76"/>
      <c r="F120" s="88" t="s">
        <v>75</v>
      </c>
      <c r="G120" s="88">
        <v>9500</v>
      </c>
      <c r="H120" s="88" t="s">
        <v>61</v>
      </c>
      <c r="I120" s="88"/>
      <c r="J120" s="89"/>
    </row>
    <row r="121" spans="1:10" ht="12.75">
      <c r="A121" s="75"/>
      <c r="B121" s="95"/>
      <c r="C121" s="95">
        <f>C120/1000</f>
        <v>7.683071449747999</v>
      </c>
      <c r="D121" s="95" t="s">
        <v>24</v>
      </c>
      <c r="E121" s="76"/>
      <c r="F121" s="88"/>
      <c r="G121" s="88">
        <v>9.5</v>
      </c>
      <c r="H121" s="88" t="s">
        <v>26</v>
      </c>
      <c r="I121" s="88"/>
      <c r="J121" s="89"/>
    </row>
    <row r="122" spans="1:10" ht="12.75">
      <c r="A122" s="75"/>
      <c r="B122" s="95"/>
      <c r="C122" s="95">
        <f>C121/1000</f>
        <v>0.007683071449747999</v>
      </c>
      <c r="D122" s="95" t="s">
        <v>25</v>
      </c>
      <c r="E122" s="76"/>
      <c r="F122" s="88" t="s">
        <v>2</v>
      </c>
      <c r="G122" s="88">
        <v>0.006856024</v>
      </c>
      <c r="H122" s="88" t="s">
        <v>25</v>
      </c>
      <c r="I122" s="88"/>
      <c r="J122" s="89"/>
    </row>
    <row r="123" spans="1:10" ht="12.75">
      <c r="A123" s="75"/>
      <c r="B123" s="95"/>
      <c r="C123" s="97">
        <f>C122/1000</f>
        <v>7.683071449747998E-06</v>
      </c>
      <c r="D123" s="95" t="s">
        <v>18</v>
      </c>
      <c r="E123" s="76"/>
      <c r="F123" s="88" t="s">
        <v>75</v>
      </c>
      <c r="G123" s="88">
        <v>0.009304603</v>
      </c>
      <c r="H123" s="88" t="s">
        <v>25</v>
      </c>
      <c r="I123" s="88"/>
      <c r="J123" s="89"/>
    </row>
    <row r="124" spans="1:10" ht="12.75">
      <c r="A124" s="75"/>
      <c r="B124" s="98"/>
      <c r="C124" s="99"/>
      <c r="D124" s="98"/>
      <c r="E124" s="98"/>
      <c r="F124" s="98"/>
      <c r="G124" s="98"/>
      <c r="H124" s="98"/>
      <c r="I124" s="98"/>
      <c r="J124" s="100"/>
    </row>
    <row r="125" spans="1:10" ht="12.75">
      <c r="A125" s="75"/>
      <c r="B125" s="101" t="s">
        <v>97</v>
      </c>
      <c r="C125" s="102"/>
      <c r="D125" s="103" t="s">
        <v>88</v>
      </c>
      <c r="E125" s="102"/>
      <c r="F125" s="102"/>
      <c r="G125" s="102"/>
      <c r="H125" s="102"/>
      <c r="I125" s="102"/>
      <c r="J125" s="104"/>
    </row>
    <row r="126" spans="1:10" ht="12.75">
      <c r="A126" s="75"/>
      <c r="B126" s="102"/>
      <c r="C126" s="105" t="s">
        <v>2</v>
      </c>
      <c r="D126" s="106">
        <f>(C108+G108+G119)/3</f>
        <v>6.597333333333334</v>
      </c>
      <c r="E126" s="102" t="s">
        <v>26</v>
      </c>
      <c r="F126" s="102"/>
      <c r="G126" s="102">
        <f>D126/C$112</f>
        <v>0.006461638916095332</v>
      </c>
      <c r="H126" s="102" t="s">
        <v>25</v>
      </c>
      <c r="I126" s="102"/>
      <c r="J126" s="104"/>
    </row>
    <row r="127" spans="1:10" ht="12.75">
      <c r="A127" s="75"/>
      <c r="B127" s="102"/>
      <c r="C127" s="105" t="s">
        <v>75</v>
      </c>
      <c r="D127" s="106">
        <f>(C110+G110+G121)/3</f>
        <v>10.135333333333334</v>
      </c>
      <c r="E127" s="102" t="s">
        <v>26</v>
      </c>
      <c r="F127" s="102"/>
      <c r="G127" s="102">
        <f>D127/C$112</f>
        <v>0.009926869082598759</v>
      </c>
      <c r="H127" s="102" t="s">
        <v>25</v>
      </c>
      <c r="I127" s="102"/>
      <c r="J127" s="104"/>
    </row>
    <row r="128" spans="1:10" ht="12.75">
      <c r="A128" s="75"/>
      <c r="B128" s="101" t="s">
        <v>155</v>
      </c>
      <c r="C128" s="105" t="s">
        <v>89</v>
      </c>
      <c r="D128" s="106">
        <f>D127/D126</f>
        <v>1.5362772837510104</v>
      </c>
      <c r="E128" s="102"/>
      <c r="F128" s="102"/>
      <c r="G128" s="106">
        <f>G127/G126</f>
        <v>1.5362772837510104</v>
      </c>
      <c r="H128" s="102"/>
      <c r="I128" s="102"/>
      <c r="J128" s="104"/>
    </row>
    <row r="129" spans="1:10" ht="12.75">
      <c r="A129" s="75"/>
      <c r="B129" s="101"/>
      <c r="C129" s="105"/>
      <c r="D129" s="106"/>
      <c r="E129" s="102"/>
      <c r="F129" s="102"/>
      <c r="G129" s="106"/>
      <c r="H129" s="102"/>
      <c r="I129" s="102"/>
      <c r="J129" s="104"/>
    </row>
    <row r="130" spans="1:10" ht="12.75">
      <c r="A130" s="75"/>
      <c r="B130" s="107" t="s">
        <v>232</v>
      </c>
      <c r="C130" s="105"/>
      <c r="D130" s="106"/>
      <c r="E130" s="102"/>
      <c r="F130" s="102"/>
      <c r="G130" s="106"/>
      <c r="H130" s="102"/>
      <c r="I130" s="102"/>
      <c r="J130" s="104"/>
    </row>
    <row r="131" spans="1:10" ht="12.75">
      <c r="A131" s="75"/>
      <c r="B131" s="98"/>
      <c r="C131" s="108"/>
      <c r="D131" s="109"/>
      <c r="E131" s="98"/>
      <c r="F131" s="98"/>
      <c r="G131" s="109"/>
      <c r="H131" s="98"/>
      <c r="I131" s="98"/>
      <c r="J131" s="100"/>
    </row>
    <row r="132" spans="1:10" ht="14.25">
      <c r="A132" s="119" t="s">
        <v>4</v>
      </c>
      <c r="B132" s="98"/>
      <c r="C132" s="108"/>
      <c r="D132" s="109"/>
      <c r="E132" s="98"/>
      <c r="F132" s="98"/>
      <c r="G132" s="109"/>
      <c r="H132" s="98"/>
      <c r="I132" s="98"/>
      <c r="J132" s="100"/>
    </row>
    <row r="133" spans="1:10" ht="12.75">
      <c r="A133" s="75"/>
      <c r="B133" s="110" t="s">
        <v>110</v>
      </c>
      <c r="C133" s="52" t="s">
        <v>150</v>
      </c>
      <c r="D133" s="111">
        <v>133</v>
      </c>
      <c r="E133" s="52" t="s">
        <v>109</v>
      </c>
      <c r="F133" s="76"/>
      <c r="G133" s="109"/>
      <c r="H133" s="110"/>
      <c r="I133" s="98"/>
      <c r="J133" s="100"/>
    </row>
    <row r="134" spans="1:10" ht="12.75">
      <c r="A134" s="75"/>
      <c r="B134" s="76"/>
      <c r="C134" s="52" t="s">
        <v>151</v>
      </c>
      <c r="D134" s="111">
        <f>D133*10^3</f>
        <v>133000</v>
      </c>
      <c r="E134" s="52" t="s">
        <v>109</v>
      </c>
      <c r="F134" s="76"/>
      <c r="G134" s="109"/>
      <c r="H134" s="98"/>
      <c r="I134" s="98"/>
      <c r="J134" s="100"/>
    </row>
    <row r="135" spans="1:11" ht="12.75">
      <c r="A135" s="75"/>
      <c r="B135" s="52" t="s">
        <v>134</v>
      </c>
      <c r="C135" s="52" t="s">
        <v>152</v>
      </c>
      <c r="D135" s="109">
        <f>(D134/0.45)/10^6</f>
        <v>0.29555555555555557</v>
      </c>
      <c r="E135" s="52" t="s">
        <v>111</v>
      </c>
      <c r="F135" s="109" t="s">
        <v>153</v>
      </c>
      <c r="G135" s="109">
        <f>(D134/0.315)/10^6</f>
        <v>0.4222222222222222</v>
      </c>
      <c r="H135" s="112" t="s">
        <v>156</v>
      </c>
      <c r="I135" s="98" t="s">
        <v>154</v>
      </c>
      <c r="J135" s="113">
        <f>(D134/0.55)/10^6</f>
        <v>0.2418181818181818</v>
      </c>
      <c r="K135" s="7"/>
    </row>
    <row r="136" spans="1:11" ht="12.75">
      <c r="A136" s="79"/>
      <c r="B136" s="114"/>
      <c r="C136" s="115"/>
      <c r="D136" s="116"/>
      <c r="E136" s="115"/>
      <c r="F136" s="116"/>
      <c r="G136" s="116"/>
      <c r="H136" s="117"/>
      <c r="I136" s="118"/>
      <c r="J136" s="120" t="s">
        <v>156</v>
      </c>
      <c r="K136" s="7"/>
    </row>
    <row r="138" spans="1:5" ht="12.75">
      <c r="A138" s="2" t="s">
        <v>135</v>
      </c>
      <c r="D138" s="4">
        <f>D33</f>
        <v>28032000</v>
      </c>
      <c r="E138" t="s">
        <v>36</v>
      </c>
    </row>
    <row r="139" spans="2:6" ht="12.75">
      <c r="B139" s="5" t="s">
        <v>5</v>
      </c>
      <c r="C139" s="7" t="s">
        <v>0</v>
      </c>
      <c r="D139" s="8">
        <f>D138*J9</f>
        <v>28032000</v>
      </c>
      <c r="E139" t="s">
        <v>32</v>
      </c>
      <c r="F139" s="16" t="s">
        <v>140</v>
      </c>
    </row>
    <row r="140" spans="1:6" ht="12.75">
      <c r="A140" s="18"/>
      <c r="B140" s="5" t="s">
        <v>6</v>
      </c>
      <c r="C140" s="7" t="s">
        <v>0</v>
      </c>
      <c r="D140" s="8">
        <f>D138*J10</f>
        <v>0</v>
      </c>
      <c r="E140" s="4" t="s">
        <v>35</v>
      </c>
      <c r="F140" s="16" t="s">
        <v>141</v>
      </c>
    </row>
    <row r="141" spans="1:6" ht="12.75">
      <c r="A141" s="18"/>
      <c r="B141" s="28" t="s">
        <v>98</v>
      </c>
      <c r="C141" s="7" t="s">
        <v>0</v>
      </c>
      <c r="D141" s="8">
        <f>D138*J11</f>
        <v>0</v>
      </c>
      <c r="E141" s="8" t="s">
        <v>149</v>
      </c>
      <c r="F141" s="16" t="s">
        <v>142</v>
      </c>
    </row>
    <row r="142" spans="1:5" ht="12.75">
      <c r="A142" s="18"/>
      <c r="B142" s="7" t="s">
        <v>8</v>
      </c>
      <c r="C142" s="7" t="s">
        <v>0</v>
      </c>
      <c r="D142" s="8">
        <f>SUM(D139:D140)</f>
        <v>28032000</v>
      </c>
      <c r="E142" s="4"/>
    </row>
    <row r="143" spans="2:5" ht="12.75">
      <c r="B143" s="5"/>
      <c r="D143" s="8"/>
      <c r="E143" s="4"/>
    </row>
    <row r="144" spans="1:4" ht="12.75">
      <c r="A144" s="2" t="s">
        <v>136</v>
      </c>
      <c r="B144" s="2"/>
      <c r="C144" s="2"/>
      <c r="D144" s="6"/>
    </row>
    <row r="145" spans="2:4" ht="12.75">
      <c r="B145" s="7" t="s">
        <v>93</v>
      </c>
      <c r="D145" s="4"/>
    </row>
    <row r="146" spans="2:5" ht="12.75">
      <c r="B146" s="5" t="s">
        <v>5</v>
      </c>
      <c r="C146" s="7" t="s">
        <v>0</v>
      </c>
      <c r="D146" s="4">
        <f>D42</f>
        <v>8437632</v>
      </c>
      <c r="E146" t="s">
        <v>43</v>
      </c>
    </row>
    <row r="147" spans="2:5" ht="12.75">
      <c r="B147" s="5" t="s">
        <v>76</v>
      </c>
      <c r="C147" s="7" t="s">
        <v>0</v>
      </c>
      <c r="D147" s="4">
        <f>D43</f>
        <v>3616128</v>
      </c>
      <c r="E147" t="s">
        <v>44</v>
      </c>
    </row>
    <row r="148" spans="2:5" ht="12.75">
      <c r="B148" s="28" t="s">
        <v>98</v>
      </c>
      <c r="C148" s="7" t="s">
        <v>0</v>
      </c>
      <c r="D148" s="4">
        <f>D44</f>
        <v>0</v>
      </c>
      <c r="E148" s="7" t="s">
        <v>121</v>
      </c>
    </row>
    <row r="149" spans="2:4" ht="12.75">
      <c r="B149" s="7" t="s">
        <v>92</v>
      </c>
      <c r="D149" s="4"/>
    </row>
    <row r="150" spans="2:5" ht="12.75">
      <c r="B150" s="5" t="s">
        <v>5</v>
      </c>
      <c r="C150" s="7" t="s">
        <v>0</v>
      </c>
      <c r="D150" s="4">
        <f>D47</f>
        <v>2438783.9999999995</v>
      </c>
      <c r="E150" t="s">
        <v>45</v>
      </c>
    </row>
    <row r="151" spans="2:5" ht="12.75">
      <c r="B151" s="5" t="s">
        <v>76</v>
      </c>
      <c r="C151" s="7" t="s">
        <v>0</v>
      </c>
      <c r="D151" s="4">
        <f>D48</f>
        <v>5690495.999999999</v>
      </c>
      <c r="E151" t="s">
        <v>46</v>
      </c>
    </row>
    <row r="152" spans="2:5" ht="12.75">
      <c r="B152" s="28" t="s">
        <v>98</v>
      </c>
      <c r="C152" s="7" t="s">
        <v>0</v>
      </c>
      <c r="D152" s="4">
        <f>D49</f>
        <v>0</v>
      </c>
      <c r="E152" s="7" t="s">
        <v>122</v>
      </c>
    </row>
    <row r="153" spans="2:4" ht="12.75">
      <c r="B153" s="5"/>
      <c r="D153" s="4"/>
    </row>
    <row r="154" spans="1:4" ht="12.75">
      <c r="A154" s="2" t="s">
        <v>101</v>
      </c>
      <c r="B154" s="5"/>
      <c r="D154" s="4"/>
    </row>
    <row r="155" spans="1:4" ht="12.75">
      <c r="A155" t="s">
        <v>11</v>
      </c>
      <c r="B155" s="7"/>
      <c r="D155" s="4"/>
    </row>
    <row r="156" spans="2:5" ht="12.75">
      <c r="B156" s="5" t="s">
        <v>5</v>
      </c>
      <c r="C156" t="s">
        <v>27</v>
      </c>
      <c r="D156" s="4">
        <f>D139*'User Interface'!H72</f>
        <v>169593.6</v>
      </c>
      <c r="E156" s="16" t="s">
        <v>41</v>
      </c>
    </row>
    <row r="157" spans="2:5" ht="12.75">
      <c r="B157" s="5" t="s">
        <v>6</v>
      </c>
      <c r="C157" t="s">
        <v>27</v>
      </c>
      <c r="D157" s="4">
        <f>D140*'User Interface'!H73</f>
        <v>0</v>
      </c>
      <c r="E157" s="16" t="s">
        <v>42</v>
      </c>
    </row>
    <row r="158" spans="2:5" ht="12.75">
      <c r="B158" s="28" t="s">
        <v>98</v>
      </c>
      <c r="C158" s="7" t="s">
        <v>124</v>
      </c>
      <c r="D158" s="4">
        <f>D141*'User Interface'!H74</f>
        <v>0</v>
      </c>
      <c r="E158" s="16" t="s">
        <v>125</v>
      </c>
    </row>
    <row r="159" spans="2:4" ht="12.75">
      <c r="B159" s="5"/>
      <c r="D159" s="4"/>
    </row>
    <row r="160" spans="1:4" ht="12.75">
      <c r="A160" s="2" t="s">
        <v>102</v>
      </c>
      <c r="B160" s="5"/>
      <c r="D160" s="4"/>
    </row>
    <row r="161" spans="2:4" ht="12.75">
      <c r="B161" t="s">
        <v>71</v>
      </c>
      <c r="D161" s="4"/>
    </row>
    <row r="162" spans="2:5" ht="12.75">
      <c r="B162" s="5" t="s">
        <v>5</v>
      </c>
      <c r="C162" t="s">
        <v>27</v>
      </c>
      <c r="D162" s="4">
        <f>D146*D18*'User Interface'!H72</f>
        <v>55131.487488000006</v>
      </c>
      <c r="E162" s="16" t="s">
        <v>127</v>
      </c>
    </row>
    <row r="163" spans="2:5" ht="12.75">
      <c r="B163" s="5" t="s">
        <v>76</v>
      </c>
      <c r="C163" t="s">
        <v>27</v>
      </c>
      <c r="D163" s="4">
        <f>D147*D20*'User Interface'!H73</f>
        <v>41050.28505599999</v>
      </c>
      <c r="E163" s="16" t="s">
        <v>137</v>
      </c>
    </row>
    <row r="164" spans="2:5" ht="12.75">
      <c r="B164" s="28" t="s">
        <v>98</v>
      </c>
      <c r="C164" s="7" t="s">
        <v>124</v>
      </c>
      <c r="D164" s="4">
        <f>D148*D22*'User Interface'!H74</f>
        <v>0</v>
      </c>
      <c r="E164" s="16" t="s">
        <v>128</v>
      </c>
    </row>
    <row r="165" spans="2:4" ht="12.75">
      <c r="B165" t="s">
        <v>72</v>
      </c>
      <c r="D165" s="4"/>
    </row>
    <row r="166" spans="2:5" ht="12.75">
      <c r="B166" s="5" t="s">
        <v>5</v>
      </c>
      <c r="C166" t="s">
        <v>27</v>
      </c>
      <c r="D166" s="4">
        <f>D150*'User Interface'!H72*D18</f>
        <v>15935.014656</v>
      </c>
      <c r="E166" s="16" t="s">
        <v>138</v>
      </c>
    </row>
    <row r="167" spans="2:5" ht="12.75">
      <c r="B167" s="5" t="s">
        <v>76</v>
      </c>
      <c r="C167" t="s">
        <v>27</v>
      </c>
      <c r="D167" s="4">
        <f>D151*'User Interface'!H73*D20</f>
        <v>64598.510591999984</v>
      </c>
      <c r="E167" s="16" t="s">
        <v>139</v>
      </c>
    </row>
    <row r="168" spans="2:5" ht="12.75">
      <c r="B168" s="28" t="s">
        <v>98</v>
      </c>
      <c r="C168" s="7" t="s">
        <v>124</v>
      </c>
      <c r="D168" s="4">
        <f>D152*D24*'User Interface'!H74</f>
        <v>0</v>
      </c>
      <c r="E168" s="16" t="s">
        <v>129</v>
      </c>
    </row>
  </sheetData>
  <sheetProtection/>
  <hyperlinks>
    <hyperlink ref="B133" r:id="rId1" display="http://bioenergy.ornl.gov/papers/misc/energy_conv.html "/>
  </hyperlinks>
  <printOptions/>
  <pageMargins left="0.7480314960629921" right="0.7480314960629921" top="0.3937007874015748" bottom="0.3937007874015748" header="0.5118110236220472" footer="0.5118110236220472"/>
  <pageSetup fitToHeight="2" orientation="portrait" scale="60" r:id="rId4"/>
  <headerFooter alignWithMargins="0">
    <oddFooter>&amp;R&amp;Z&amp;F</oddFooter>
  </headerFooter>
  <ignoredErrors>
    <ignoredError sqref="C9:C11 F11 I9:I11 F9 F10 H42:H44 H47:H49" numberStoredAsText="1"/>
    <ignoredError sqref="D19 D21 D23" 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Kent</dc:creator>
  <cp:keywords/>
  <dc:description/>
  <cp:lastModifiedBy>Kent</cp:lastModifiedBy>
  <cp:lastPrinted>2010-11-07T20:50:38Z</cp:lastPrinted>
  <dcterms:created xsi:type="dcterms:W3CDTF">2008-11-12T19:36:30Z</dcterms:created>
  <dcterms:modified xsi:type="dcterms:W3CDTF">2010-11-25T14:27:17Z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